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185" activeTab="0"/>
  </bookViews>
  <sheets>
    <sheet name="Stavba" sheetId="1" r:id="rId1"/>
    <sheet name="VORN" sheetId="2" r:id="rId2"/>
    <sheet name="01-BOURACÍ PRÁCE" sheetId="3" r:id="rId3"/>
    <sheet name="02-STAVEBNÍ ČÁST" sheetId="4" r:id="rId4"/>
    <sheet name="03-ZTI+ELEKTRO" sheetId="5" r:id="rId5"/>
    <sheet name="Stavební rozpočet" sheetId="6" state="veryHidden" r:id="rId6"/>
  </sheets>
  <externalReferences>
    <externalReference r:id="rId9"/>
  </externalReferences>
  <definedNames>
    <definedName name="CelkemObjekty" localSheetId="0">'Stavba'!$E$33</definedName>
    <definedName name="CisloStavby" localSheetId="0">'Stavba'!$C$4</definedName>
    <definedName name="dadresa" localSheetId="0">'Stavba'!$C$7</definedName>
    <definedName name="DIČ" localSheetId="0">'Stavba'!$J$7</definedName>
    <definedName name="dmisto" localSheetId="0">'Stavba'!$C$8</definedName>
    <definedName name="dpsc" localSheetId="0">'Stavba'!$B$8</definedName>
    <definedName name="IČO" localSheetId="0">'Stavba'!$J$6</definedName>
    <definedName name="NazevObjektu" localSheetId="0">'Stavba'!$B$28</definedName>
    <definedName name="NazevStavby" localSheetId="0">'Stavba'!$D$4</definedName>
    <definedName name="Objednatel" localSheetId="0">'Stavba'!$C$10</definedName>
    <definedName name="Objekt" localSheetId="0">'Stavba'!$A$28</definedName>
    <definedName name="_xlnm.Print_Area" localSheetId="2">'01-BOURACÍ PRÁCE'!$A$1:$BL$40</definedName>
    <definedName name="_xlnm.Print_Area" localSheetId="3">'02-STAVEBNÍ ČÁST'!$A$1:$BL$55</definedName>
    <definedName name="_xlnm.Print_Area" localSheetId="4">'03-ZTI+ELEKTRO'!$A$1:$BL$57</definedName>
    <definedName name="_xlnm.Print_Area" localSheetId="0">'Stavba'!$A$1:$I$43</definedName>
    <definedName name="odic" localSheetId="0">'Stavba'!$J$11</definedName>
    <definedName name="oico" localSheetId="0">'Stavba'!$J$10</definedName>
    <definedName name="omisto" localSheetId="0">'Stavba'!$C$12</definedName>
    <definedName name="onazev" localSheetId="0">'Stavba'!$C$11</definedName>
    <definedName name="opsc" localSheetId="0">'Stavba'!$B$12</definedName>
    <definedName name="SazbaDPH1" localSheetId="0">'Stavba'!$C$18</definedName>
    <definedName name="SazbaDPH2" localSheetId="0">'Stavba'!$C$20</definedName>
    <definedName name="SoucetDilu" localSheetId="0">'Stavba'!#REF!</definedName>
    <definedName name="StavbaCelkem" localSheetId="0">'Stavba'!$G$33</definedName>
    <definedName name="vorn_sum" localSheetId="0">'[1]08 VORN'!$I$36:$I$36</definedName>
    <definedName name="vorn_sum">'VORN'!$I$36:$I$36</definedName>
    <definedName name="Zhotovitel" localSheetId="0">'Stavba'!$C$6</definedName>
  </definedNames>
  <calcPr fullCalcOnLoad="1"/>
</workbook>
</file>

<file path=xl/sharedStrings.xml><?xml version="1.0" encoding="utf-8"?>
<sst xmlns="http://schemas.openxmlformats.org/spreadsheetml/2006/main" count="2006" uniqueCount="463">
  <si>
    <t>Stavební rozpočet</t>
  </si>
  <si>
    <t>Název stavby:</t>
  </si>
  <si>
    <t>Druh stavby:</t>
  </si>
  <si>
    <t>Lokalita:</t>
  </si>
  <si>
    <t>JKSO:</t>
  </si>
  <si>
    <t>Č</t>
  </si>
  <si>
    <t xml:space="preserve">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</si>
  <si>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</si>
  <si>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</si>
  <si>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</si>
  <si>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</si>
  <si>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</si>
  <si>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</si>
  <si>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</si>
  <si>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</si>
  <si>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</si>
  <si>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</si>
  <si>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</si>
  <si>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</si>
  <si>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</si>
  <si>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</si>
  <si>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</si>
  <si>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</si>
  <si>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</si>
  <si>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</si>
  <si>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</si>
  <si>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</si>
  <si>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</si>
  <si>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</si>
  <si>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</si>
  <si>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</si>
  <si>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</si>
  <si>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</si>
  <si>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</si>
  <si>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</si>
  <si>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</si>
  <si>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</si>
  <si>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</si>
  <si>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</si>
  <si>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</si>
  <si>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</si>
  <si>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</si>
  <si>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</si>
  <si>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</si>
  <si>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</si>
  <si>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</si>
  <si>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</si>
  <si>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</si>
  <si>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</si>
  <si>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</si>
  <si>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</si>
  <si>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</si>
  <si>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</si>
  <si>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</si>
  <si>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</si>
  <si>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</si>
  <si>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</si>
  <si>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</si>
  <si>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</si>
  <si>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</si>
  <si>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</si>
  <si>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</si>
  <si>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</si>
  <si>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</si>
  <si>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</si>
  <si>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</si>
  <si>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</si>
  <si>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</si>
  <si>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</si>
  <si>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</si>
  <si>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</si>
  <si>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</si>
  <si>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</si>
  <si>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</si>
  <si>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</si>
  <si>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</si>
  <si>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</si>
  <si>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</si>
  <si>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</si>
  <si>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</si>
  <si>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</si>
  <si>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</si>
  <si>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</si>
  <si>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</si>
  <si>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</si>
  <si>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</si>
  <si>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</si>
  <si>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</si>
  <si>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</si>
  <si>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</si>
  <si>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</si>
  <si>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</si>
  <si>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</si>
  <si>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</si>
  <si>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</si>
  <si>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</si>
  <si>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</si>
  <si>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</si>
  <si>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Objekt</t>
  </si>
  <si>
    <t>01</t>
  </si>
  <si>
    <t>02</t>
  </si>
  <si>
    <t>03</t>
  </si>
  <si>
    <t>Kód</t>
  </si>
  <si>
    <t>95</t>
  </si>
  <si>
    <t>952901111R00</t>
  </si>
  <si>
    <t>96</t>
  </si>
  <si>
    <t>9600-07VD</t>
  </si>
  <si>
    <t>9600-03VD</t>
  </si>
  <si>
    <t>725820802R00</t>
  </si>
  <si>
    <t>725210821R00</t>
  </si>
  <si>
    <t>725110814R00</t>
  </si>
  <si>
    <t>725122813R00</t>
  </si>
  <si>
    <t>725330820R00</t>
  </si>
  <si>
    <t>722170801R00</t>
  </si>
  <si>
    <t>721171808R00</t>
  </si>
  <si>
    <t>965081713RT1</t>
  </si>
  <si>
    <t>968072455R00</t>
  </si>
  <si>
    <t>968061125R00</t>
  </si>
  <si>
    <t>962032231R00</t>
  </si>
  <si>
    <t>9600-2VD</t>
  </si>
  <si>
    <t>962031113R00</t>
  </si>
  <si>
    <t>978059531R00</t>
  </si>
  <si>
    <t>965042221RT1</t>
  </si>
  <si>
    <t>S</t>
  </si>
  <si>
    <t>979083111R00</t>
  </si>
  <si>
    <t>979091295R00</t>
  </si>
  <si>
    <t>979094111R00</t>
  </si>
  <si>
    <t>979081111R00</t>
  </si>
  <si>
    <t>979081121R00</t>
  </si>
  <si>
    <t>979990111R00</t>
  </si>
  <si>
    <t>317147300R00</t>
  </si>
  <si>
    <t>317147321R00</t>
  </si>
  <si>
    <t>342256253R00</t>
  </si>
  <si>
    <t>342256255R00</t>
  </si>
  <si>
    <t>601012142R00</t>
  </si>
  <si>
    <t>612471411RT2</t>
  </si>
  <si>
    <t>61200-01VD</t>
  </si>
  <si>
    <t>612474612RT3</t>
  </si>
  <si>
    <t>612474550RT3</t>
  </si>
  <si>
    <t>632411904R00</t>
  </si>
  <si>
    <t>632411125RT1</t>
  </si>
  <si>
    <t>631311121R00</t>
  </si>
  <si>
    <t>642942111RT3</t>
  </si>
  <si>
    <t>76600-01VD</t>
  </si>
  <si>
    <t>711</t>
  </si>
  <si>
    <t>711212002RT6</t>
  </si>
  <si>
    <t>711404123R00</t>
  </si>
  <si>
    <t>771</t>
  </si>
  <si>
    <t>771575109R00</t>
  </si>
  <si>
    <t>597642030</t>
  </si>
  <si>
    <t>771475014RU7</t>
  </si>
  <si>
    <t>597642413</t>
  </si>
  <si>
    <t>998771101R00</t>
  </si>
  <si>
    <t>781</t>
  </si>
  <si>
    <t>781475112R00</t>
  </si>
  <si>
    <t>597813567</t>
  </si>
  <si>
    <t>998781101R00</t>
  </si>
  <si>
    <t>784</t>
  </si>
  <si>
    <t>784191101R00</t>
  </si>
  <si>
    <t>784195222R00</t>
  </si>
  <si>
    <t>94</t>
  </si>
  <si>
    <t>941955002R00</t>
  </si>
  <si>
    <t>H99</t>
  </si>
  <si>
    <t>999281145R00</t>
  </si>
  <si>
    <t>721</t>
  </si>
  <si>
    <t>721176102R00</t>
  </si>
  <si>
    <t>72100-02VD</t>
  </si>
  <si>
    <t>72100-03VD</t>
  </si>
  <si>
    <t>998721101R00</t>
  </si>
  <si>
    <t>721176103R00</t>
  </si>
  <si>
    <t>721176222R00</t>
  </si>
  <si>
    <t>72100-04VD</t>
  </si>
  <si>
    <t>722</t>
  </si>
  <si>
    <t>722181212RU1</t>
  </si>
  <si>
    <t>722181213RT7</t>
  </si>
  <si>
    <t>722290234R00</t>
  </si>
  <si>
    <t>722280107R00</t>
  </si>
  <si>
    <t>722235315R00</t>
  </si>
  <si>
    <t>722235313R00</t>
  </si>
  <si>
    <t>722171211R00</t>
  </si>
  <si>
    <t>722171212R00</t>
  </si>
  <si>
    <t>72200-01VD</t>
  </si>
  <si>
    <t>72200-02VD</t>
  </si>
  <si>
    <t>72200-03VD</t>
  </si>
  <si>
    <t>998722101R00</t>
  </si>
  <si>
    <t>725</t>
  </si>
  <si>
    <t>725823121RT1</t>
  </si>
  <si>
    <t>725860251R00</t>
  </si>
  <si>
    <t>725017162R00</t>
  </si>
  <si>
    <t>725019103R00</t>
  </si>
  <si>
    <t>725823111RT1</t>
  </si>
  <si>
    <t>725013163R00</t>
  </si>
  <si>
    <t>725016111R00</t>
  </si>
  <si>
    <t>725860168R00</t>
  </si>
  <si>
    <t>725121611R00</t>
  </si>
  <si>
    <t>892571111R00</t>
  </si>
  <si>
    <t>M21</t>
  </si>
  <si>
    <t>210810045RT1</t>
  </si>
  <si>
    <t>210810046RT3</t>
  </si>
  <si>
    <t>2100-12VD</t>
  </si>
  <si>
    <t>2100-21VD</t>
  </si>
  <si>
    <t>2100-32VD</t>
  </si>
  <si>
    <t>2100-03VD</t>
  </si>
  <si>
    <t>21000-01VD</t>
  </si>
  <si>
    <t>2100-39VD</t>
  </si>
  <si>
    <t>2100-02VD</t>
  </si>
  <si>
    <t>Zkrácený popis</t>
  </si>
  <si>
    <t>část BOURACÍ PRÁCE</t>
  </si>
  <si>
    <t>Různé dokončovací konstrukce a práce na pozemních stavbách</t>
  </si>
  <si>
    <t>Vyčištění budov o výšce podlaží do 4 m - po dokončení bouracích prací</t>
  </si>
  <si>
    <t>Bourání konstrukcí</t>
  </si>
  <si>
    <t>Odpojení médií před započetím bouracích prací</t>
  </si>
  <si>
    <t>Demontáž rozvodů elektro včet. koncových prvků (svítidla, vypínače, zásuvky,...)</t>
  </si>
  <si>
    <t>Demontáž baterie stojánkové do 1otvoru</t>
  </si>
  <si>
    <t>Demontáž umyvadel bez výtokových armatur</t>
  </si>
  <si>
    <t>Demontáž klozetů kombinovaných</t>
  </si>
  <si>
    <t>Demontáž pisoárů</t>
  </si>
  <si>
    <t>Demontáž výlevky</t>
  </si>
  <si>
    <t>Demontáž rozvodů vody z plastů do D 32  ODHAD</t>
  </si>
  <si>
    <t>Demontáž potrubí z PVC do D 114 mm  ODHAD</t>
  </si>
  <si>
    <t>Bourání dlažeb keramických tl.10 mm, nad 1 m2</t>
  </si>
  <si>
    <t>Vybourání kovových dveřních zárubní pl. do 2 m2</t>
  </si>
  <si>
    <t>Vyvěšení dřevěných dveřních křídel pl. do 2 m2</t>
  </si>
  <si>
    <t>Bourání zdiva z cihel pálených na MVC</t>
  </si>
  <si>
    <t>Zaslepení rozvodů ZTI po demontovaných zařizovacích předmětech</t>
  </si>
  <si>
    <t>Bourání příček z cihel pálených plných tl. 65 mm,</t>
  </si>
  <si>
    <t>Odsekání vnitřních obkladů stěn nad 2 m2</t>
  </si>
  <si>
    <t>Bourání mazanin betonových tl. nad 10 cm,  PRO ROZVOD KANALIZACE</t>
  </si>
  <si>
    <t>Přesuny sutí</t>
  </si>
  <si>
    <t>Vodorovné přemístění suti na skládku do 100 m</t>
  </si>
  <si>
    <t>Příplatek za vodo.přemístění suti při rekonstrukci</t>
  </si>
  <si>
    <t>Nakládání nebo překládání vybouraných hmot</t>
  </si>
  <si>
    <t>Odvoz suti a vybour. hmot na skládku do 1 km</t>
  </si>
  <si>
    <t>Příplatek k odvozu za každý další 1 km PRO SKLÁDKU VZDÁLENOU DO 10 km</t>
  </si>
  <si>
    <t>Poplatek za skládku suti</t>
  </si>
  <si>
    <t>část STAVEBNÍ</t>
  </si>
  <si>
    <t>Zdi podpěrné a volné</t>
  </si>
  <si>
    <t>Překlad nenosný z pórobetonu PORFIX 100x250x1000</t>
  </si>
  <si>
    <t>Překlad nenosný z pórobetonu PORFIX 150x250x1200</t>
  </si>
  <si>
    <t>Stěny a příčky</t>
  </si>
  <si>
    <t>Příčka z tvárnic pórobetonových PORFIX tl. 100 mm</t>
  </si>
  <si>
    <t>Příčka z tvárnic pórobetonových PORFIX tl. 150 mm</t>
  </si>
  <si>
    <t>Omítky ze suchých směsí</t>
  </si>
  <si>
    <t>Štuk na stropech ručně STÁVAJÍCÍ PODHLED</t>
  </si>
  <si>
    <t>Úprava povrchů vnitřní</t>
  </si>
  <si>
    <t>Úprava vnitřních stěn aktivovaným štukem  STÁVAJÍCÍ ZDIVO</t>
  </si>
  <si>
    <t>Začištění stěn po odbourání zdiva</t>
  </si>
  <si>
    <t>Omítka stěn vnitřní dvouvrstvá, sádr. štuk, ručně  NOVÉ ZDIVO</t>
  </si>
  <si>
    <t>Omítka stěn vnitřní jednovrstvá sádrová, ručně  NOVÉ ZDIVO, pod obklad</t>
  </si>
  <si>
    <t>Podlahy a podlahové konstrukce</t>
  </si>
  <si>
    <t>Penetrace podkladů - podlaha</t>
  </si>
  <si>
    <t>Potěr ze SMS , ruční zpracování, tl. 25 mm VYROVNÁNÍ PODLAHY</t>
  </si>
  <si>
    <t>Doplnění mazanin betonem do 1 m2, do tl. 8 cm  RÝHA PO LEŽATÉ KANALIZACI</t>
  </si>
  <si>
    <t>Výplně otvorů</t>
  </si>
  <si>
    <t>Osazení zárubní dveřních ocelových, pl. do 2,5 m2,  včetně dodávky zárubně  700 x 1970mm</t>
  </si>
  <si>
    <t>Dveře vnitřní 700x1970 mm - dodávka včetně kování (pro 4 ks WC zámek)</t>
  </si>
  <si>
    <t>Izolace proti vodě</t>
  </si>
  <si>
    <t>Hydroizolační povlak - nátěr nebo stěrka</t>
  </si>
  <si>
    <t>Páska pro hydroizilační stěrku</t>
  </si>
  <si>
    <t>Podlahy z dlaždic</t>
  </si>
  <si>
    <t>Montáž podlah keram.,hladké, tmel, 30x30 cm</t>
  </si>
  <si>
    <t>Dlažba keramická 300x300x9 mm</t>
  </si>
  <si>
    <t>Obklad soklíků keram.rovných, tmel,výška 10 cm</t>
  </si>
  <si>
    <t>Dlažba keramická - sokl 600x95x10 mm</t>
  </si>
  <si>
    <t>Přesun hmot pro podlahy z dlaždic, výšky do 6 m</t>
  </si>
  <si>
    <t>Obklady (keramické)</t>
  </si>
  <si>
    <t>Obklad vnitřní stěn keramický, do tmele, 150x150 mm</t>
  </si>
  <si>
    <t>Obkládačka keramická 150x150mm</t>
  </si>
  <si>
    <t>Přesun hmot pro obklady keramické, výšky do 6 m</t>
  </si>
  <si>
    <t>Malby</t>
  </si>
  <si>
    <t>Penetrace podkladu univerzální Primalex 1x</t>
  </si>
  <si>
    <t>Malba Primalex Plus, barva, bez penetrace, 2 x</t>
  </si>
  <si>
    <t>Lešení a stavební výtahy</t>
  </si>
  <si>
    <t>Lešení lehké pomocné, výška podlahy do 1,9 m</t>
  </si>
  <si>
    <t>Vyčištění budov o výšce podlaží do 4 m - po dokončení stavebních prací</t>
  </si>
  <si>
    <t>Ostatní přesuny hmot</t>
  </si>
  <si>
    <t>Přesun hmot pro opravy a údržbu do v. 6 m, nošením</t>
  </si>
  <si>
    <t>část ZTI+ELEKTRO</t>
  </si>
  <si>
    <t>Vnitřní kanalizace</t>
  </si>
  <si>
    <t>Potrubí HT připojovací D 40 x 1,8 mm</t>
  </si>
  <si>
    <t>Napojení na stávající rozvody kanalizace</t>
  </si>
  <si>
    <t>Drobný instalační materiál</t>
  </si>
  <si>
    <t>Přesun hmot pro vnitřní kanalizaci, výšky do 6 m</t>
  </si>
  <si>
    <t>Potrubí HT připojovací D 50 x 1,8 mm</t>
  </si>
  <si>
    <t>Potrubí KG svodné (ležaté) v zemi D 110 x 3,2 mm</t>
  </si>
  <si>
    <t>Stavební přípomoce pro rozvod kanalizace</t>
  </si>
  <si>
    <t>Vnitřní vodovod</t>
  </si>
  <si>
    <t>Izolace návleková MIRELON PRO tl. stěny 9 mm</t>
  </si>
  <si>
    <t>Izolace návleková MIRELON PRO tl. stěny 13 mm</t>
  </si>
  <si>
    <t>Proplach a dezinfekce vodovod.potrubí DN 80</t>
  </si>
  <si>
    <t>Tlaková zkouška vodovodního potrubí DN 40</t>
  </si>
  <si>
    <t>Kohout kulový nerez,  DN 25</t>
  </si>
  <si>
    <t>Kohout kulový nerez, 1dílný  DN 15</t>
  </si>
  <si>
    <t>Potrubí z PEHD, D 20 x 2,0 mm</t>
  </si>
  <si>
    <t>Potrubí z PEHD, D 25 x 2,3 mm</t>
  </si>
  <si>
    <t>Napojení na stávající rozvody vody</t>
  </si>
  <si>
    <t>Stavební přípomoci pro rozvod vody</t>
  </si>
  <si>
    <t>Přesun hmot pro vnitřní vodovod, výšky do 6 m</t>
  </si>
  <si>
    <t>Zařizovací předměty</t>
  </si>
  <si>
    <t>Baterie umyvadlová stoján. ruční, vč. otvír.odpadu</t>
  </si>
  <si>
    <t>Sifon umyvadlový chromovaný</t>
  </si>
  <si>
    <t>Umyvadlo na šrouby , 55 x 45 cm, bílé</t>
  </si>
  <si>
    <t>Výlevka závěsná, s plastovou mžížkou</t>
  </si>
  <si>
    <t>Baterie umyvadlová stoján. ruční, bez otvír.odpadu - k výlevce</t>
  </si>
  <si>
    <t>Klozet kombi, nádrž s armat. odpad.</t>
  </si>
  <si>
    <t>Pisoár, bílý</t>
  </si>
  <si>
    <t>Zápachová uzávěrka pro pisoáry HL430, D 40, 50 mm</t>
  </si>
  <si>
    <t>Splachovač pisoárů automatický</t>
  </si>
  <si>
    <t>Ostatní konstrukce a práce na trubním vedení</t>
  </si>
  <si>
    <t>Zkouška těsnosti kanalizace DN do 200, vodou</t>
  </si>
  <si>
    <t>Elektromontáže</t>
  </si>
  <si>
    <t>Kabel CYKY- 3 x 1,5 mm2 pevně uložený  ODHAD  včetně dodávky kabelu</t>
  </si>
  <si>
    <t>Kabel CYKY-m 750 V 3 x 2,5 mm2 pevně uložený  ODHAD,  včetně dodávky kabelu</t>
  </si>
  <si>
    <t>Zásuvka dvojitá</t>
  </si>
  <si>
    <t>Vypínač jednopólový</t>
  </si>
  <si>
    <t>Svítidlo zářivkové - 2 trubice</t>
  </si>
  <si>
    <t>Napojení na stávající rozvody elektro</t>
  </si>
  <si>
    <t>Přidružený materiál elektro</t>
  </si>
  <si>
    <t>Světelné zdroje  - pro všechna svítidla</t>
  </si>
  <si>
    <t>Zkoušky a revize elektro</t>
  </si>
  <si>
    <t>Doba výstavby:</t>
  </si>
  <si>
    <t>Začátek výstavby:</t>
  </si>
  <si>
    <t>Konec výstavby:</t>
  </si>
  <si>
    <t>Zpracováno dne:</t>
  </si>
  <si>
    <t>M.j.</t>
  </si>
  <si>
    <t>m2</t>
  </si>
  <si>
    <t>soub</t>
  </si>
  <si>
    <t>soubor</t>
  </si>
  <si>
    <t>m</t>
  </si>
  <si>
    <t>kus</t>
  </si>
  <si>
    <t>m3</t>
  </si>
  <si>
    <t>t</t>
  </si>
  <si>
    <t>kmpl</t>
  </si>
  <si>
    <t>Množství</t>
  </si>
  <si>
    <t>Objednatel:</t>
  </si>
  <si>
    <t>Projektant:</t>
  </si>
  <si>
    <t>Zhotovitel:</t>
  </si>
  <si>
    <t>Zpracoval:</t>
  </si>
  <si>
    <t>Jednotková cena (Kč)</t>
  </si>
  <si>
    <t>Celkem:</t>
  </si>
  <si>
    <t>Náklady celkem (Kč)</t>
  </si>
  <si>
    <t>Poznámka:</t>
  </si>
  <si>
    <t>Montáž</t>
  </si>
  <si>
    <t>Práce přesčas</t>
  </si>
  <si>
    <t>Bez pevné podl.</t>
  </si>
  <si>
    <t>Kulturní památka</t>
  </si>
  <si>
    <t>Zařízení staveniště</t>
  </si>
  <si>
    <t>Mimostav. doprava</t>
  </si>
  <si>
    <t>Územní vlivy</t>
  </si>
  <si>
    <t>Provozní vlivy</t>
  </si>
  <si>
    <t>Ostatní</t>
  </si>
  <si>
    <t>NUS z rozpočtu</t>
  </si>
  <si>
    <t>IČ/DIČ:</t>
  </si>
  <si>
    <t>Položek:</t>
  </si>
  <si>
    <t>Datum:</t>
  </si>
  <si>
    <t>Náklady na umístění stavby (NUS)</t>
  </si>
  <si>
    <t>Vedlejší rozpočtové náklady VRN</t>
  </si>
  <si>
    <t>Doplňkové náklady DN</t>
  </si>
  <si>
    <t>Celkem DN</t>
  </si>
  <si>
    <t>Celkem NUS</t>
  </si>
  <si>
    <t>Celkem VRN</t>
  </si>
  <si>
    <t>Ostatní rozpočtové náklady ORN</t>
  </si>
  <si>
    <t>Ostatní rozpočtové náklady (ORN)</t>
  </si>
  <si>
    <t>Celkem ORN</t>
  </si>
  <si>
    <t>Vedlejší a ostatní rozpočtové náklady</t>
  </si>
  <si>
    <t>Kč</t>
  </si>
  <si>
    <t>%</t>
  </si>
  <si>
    <t>Základna</t>
  </si>
  <si>
    <t>Stavební úpravy soc.zařízení ZŠ Želízy</t>
  </si>
  <si>
    <t>č.parc.st. 77, Želízy</t>
  </si>
  <si>
    <t>Rozměry</t>
  </si>
  <si>
    <t>23.03.2020</t>
  </si>
  <si>
    <t>Jednot.</t>
  </si>
  <si>
    <t>cena (Kč)</t>
  </si>
  <si>
    <t>Náklady (Kč)</t>
  </si>
  <si>
    <t>Dodávka</t>
  </si>
  <si>
    <t>Celkem</t>
  </si>
  <si>
    <t>Hmotnost (t)</t>
  </si>
  <si>
    <t>Cenová</t>
  </si>
  <si>
    <t>soustava</t>
  </si>
  <si>
    <t>RTS I / 2018</t>
  </si>
  <si>
    <t>Přesuny</t>
  </si>
  <si>
    <t>Typ skupiny</t>
  </si>
  <si>
    <t>HSV mat</t>
  </si>
  <si>
    <t>HSV prac</t>
  </si>
  <si>
    <t>PSV mat</t>
  </si>
  <si>
    <t>PSV prac</t>
  </si>
  <si>
    <t>Mont mat</t>
  </si>
  <si>
    <t>Mont prac</t>
  </si>
  <si>
    <t>Ostatní mat.</t>
  </si>
  <si>
    <t>95_</t>
  </si>
  <si>
    <t>96_</t>
  </si>
  <si>
    <t>S_</t>
  </si>
  <si>
    <t>31_</t>
  </si>
  <si>
    <t>34_</t>
  </si>
  <si>
    <t>60_</t>
  </si>
  <si>
    <t>61_</t>
  </si>
  <si>
    <t>63_</t>
  </si>
  <si>
    <t>64_</t>
  </si>
  <si>
    <t>711_</t>
  </si>
  <si>
    <t>771_</t>
  </si>
  <si>
    <t>781_</t>
  </si>
  <si>
    <t>784_</t>
  </si>
  <si>
    <t>94_</t>
  </si>
  <si>
    <t>H99_</t>
  </si>
  <si>
    <t>721_</t>
  </si>
  <si>
    <t>722_</t>
  </si>
  <si>
    <t>725_</t>
  </si>
  <si>
    <t>89_</t>
  </si>
  <si>
    <t>M21_</t>
  </si>
  <si>
    <t>01_9_</t>
  </si>
  <si>
    <t>02_3_</t>
  </si>
  <si>
    <t>02_6_</t>
  </si>
  <si>
    <t>02_71_</t>
  </si>
  <si>
    <t>02_77_</t>
  </si>
  <si>
    <t>02_78_</t>
  </si>
  <si>
    <t>02_9_</t>
  </si>
  <si>
    <t>03_72_</t>
  </si>
  <si>
    <t>03_8_</t>
  </si>
  <si>
    <t>03_9_</t>
  </si>
  <si>
    <t>01_</t>
  </si>
  <si>
    <t>02_</t>
  </si>
  <si>
    <t>03_</t>
  </si>
  <si>
    <t>Položkový rozpočet stavby</t>
  </si>
  <si>
    <t xml:space="preserve">Datum: </t>
  </si>
  <si>
    <t>Stavba :</t>
  </si>
  <si>
    <t xml:space="preserve">Objednatel : </t>
  </si>
  <si>
    <t>IČO :</t>
  </si>
  <si>
    <t>DIČ :</t>
  </si>
  <si>
    <t xml:space="preserve">Zhotovitel : </t>
  </si>
  <si>
    <t>Za zhotovitele :</t>
  </si>
  <si>
    <t>Za objednatele :</t>
  </si>
  <si>
    <t>_______________________</t>
  </si>
  <si>
    <t>___________________________</t>
  </si>
  <si>
    <t>Rozpočtové náklady</t>
  </si>
  <si>
    <t>Základ pro DPH</t>
  </si>
  <si>
    <t xml:space="preserve">DPH </t>
  </si>
  <si>
    <t>Cena celkem za stavbu</t>
  </si>
  <si>
    <t>Rekapitulace stavebních objektů a provozních souborů</t>
  </si>
  <si>
    <t>Číslo a název objektu / provozního souboru</t>
  </si>
  <si>
    <t>Cena celkem</t>
  </si>
  <si>
    <t>DPH celkem</t>
  </si>
  <si>
    <t>04</t>
  </si>
  <si>
    <t>Ostatní a vedlejší náklady</t>
  </si>
  <si>
    <t>Celkem za stavbu</t>
  </si>
  <si>
    <t>POZNÁMKA:</t>
  </si>
  <si>
    <t>STAVEBNÍ ÚPRAVY SOCIÁLNÍHO ZAŘÍZENÍ, ZŠ ŽELÍZY</t>
  </si>
  <si>
    <t>Obec Želízy</t>
  </si>
  <si>
    <t>č.p. 46</t>
  </si>
  <si>
    <t>277 21 Želízy</t>
  </si>
  <si>
    <t>- rozpočet byl sestaven podle projektové dokumentace  z února 2020 vyhotovené společností PMM projekt s.r.o.</t>
  </si>
  <si>
    <t>BOURACÍ PRÁCE</t>
  </si>
  <si>
    <t>STAVEBNÍ ČÁST</t>
  </si>
  <si>
    <t>ZTI+ELEKTRO</t>
  </si>
  <si>
    <t>Obec Želízy, č.p. 46, 277 21 Želízy</t>
  </si>
  <si>
    <t>PMM projekt s.r.o., Pražská 3939, 276 01 Mělník</t>
  </si>
  <si>
    <t xml:space="preserve"> - úpravy jsou počítány pouze pro místnosti č. 101, 102, 103, 105 (čísla dle výkresu D 03 - nový stav)</t>
  </si>
  <si>
    <t xml:space="preserve"> - úpravy na stávajícím zdivu pro rozpočet předpokládáme: </t>
  </si>
  <si>
    <t xml:space="preserve"> -  malba ve výměře nového štuku</t>
  </si>
  <si>
    <t>- nová štuková vrstva na stropech a pruh mezi stropem a obkladem</t>
  </si>
  <si>
    <t>92</t>
  </si>
  <si>
    <t>Oddělovací stěna k pisoárům 400x800 mm, sklo mat, oblé</t>
  </si>
  <si>
    <t>72500-01VD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</si>
</sst>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d/mm/yy"/>
    <numFmt numFmtId="165" formatCode="dd\.mmmm\.yy"/>
    <numFmt numFmtId="166" formatCode="0.0%"/>
    <numFmt numFmtId="167" formatCode="0.0"/>
  </numFmts>
  <fonts count="53">
    <font>
      <sz val="10"/>
      <name val="Arial"/>
      <family val="0"/>
    </font>
    <font>
      <sz val="10"/>
      <color indexed="8"/>
      <name val="Arial"/>
      <family val="0"/>
    </font>
    <font>
      <sz val="1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61"/>
      <name val="Arial"/>
      <family val="0"/>
    </font>
    <font>
      <sz val="10"/>
      <color indexed="62"/>
      <name val="Arial"/>
      <family val="0"/>
    </font>
    <font>
      <b/>
      <sz val="10"/>
      <color indexed="56"/>
      <name val="Arial"/>
      <family val="0"/>
    </font>
    <font>
      <b/>
      <sz val="12"/>
      <color indexed="8"/>
      <name val="Arial"/>
      <family val="0"/>
    </font>
    <font>
      <i/>
      <sz val="8"/>
      <color indexed="8"/>
      <name val="Arial"/>
      <family val="0"/>
    </font>
    <font>
      <sz val="10"/>
      <color indexed="54"/>
      <name val="Arial"/>
      <family val="0"/>
    </font>
    <font>
      <sz val="10"/>
      <color indexed="56"/>
      <name val="Arial"/>
      <family val="0"/>
    </font>
    <font>
      <b/>
      <sz val="10"/>
      <color indexed="54"/>
      <name val="Arial"/>
      <family val="0"/>
    </font>
    <font>
      <sz val="10"/>
      <name val="Arial CE"/>
      <family val="0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u val="single"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sz val="18"/>
      <color indexed="23"/>
      <name val="Calibri Light"/>
      <family val="2"/>
    </font>
    <font>
      <sz val="11"/>
      <color indexed="19"/>
      <name val="Calibri"/>
      <family val="2"/>
    </font>
    <font>
      <sz val="11"/>
      <color indexed="51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23"/>
      <name val="Calibri"/>
      <family val="2"/>
    </font>
    <font>
      <b/>
      <sz val="11"/>
      <color indexed="51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/>
      <right/>
      <top style="medium"/>
      <bottom/>
    </border>
    <border>
      <left style="medium"/>
      <right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/>
      <top style="thin"/>
      <bottom/>
    </border>
    <border>
      <left style="thin"/>
      <right/>
      <top/>
      <bottom style="medium"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 style="medium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43" fontId="0" fillId="0" borderId="0" applyFont="0" applyFill="0" applyBorder="0" applyAlignment="0" applyProtection="0"/>
    <xf numFmtId="0" fontId="1" fillId="0" borderId="0">
      <alignment vertical="center"/>
      <protection locked="0"/>
    </xf>
    <xf numFmtId="0" fontId="39" fillId="20" borderId="0" applyNumberFormat="0" applyBorder="0" applyAlignment="0" applyProtection="0"/>
    <xf numFmtId="0" fontId="40" fillId="21" borderId="2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12" fillId="0" borderId="0">
      <alignment/>
      <protection/>
    </xf>
    <xf numFmtId="0" fontId="0" fillId="23" borderId="6" applyNumberFormat="0" applyFont="0" applyAlignment="0" applyProtection="0"/>
    <xf numFmtId="43" fontId="0" fillId="0" borderId="0" applyFont="0" applyFill="0" applyBorder="0" applyAlignment="0" applyProtection="0"/>
    <xf numFmtId="0" fontId="46" fillId="0" borderId="7" applyNumberFormat="0" applyFill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44">
    <xf numFmtId="0" fontId="1" fillId="0" borderId="0" xfId="0" applyFont="1" applyAlignment="1">
      <alignment vertical="center"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vertical="center"/>
      <protection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4" fontId="4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 vertical="center"/>
      <protection/>
    </xf>
    <xf numFmtId="0" fontId="1" fillId="0" borderId="13" xfId="0" applyNumberFormat="1" applyFont="1" applyFill="1" applyBorder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vertical="center"/>
      <protection/>
    </xf>
    <xf numFmtId="0" fontId="1" fillId="0" borderId="15" xfId="0" applyNumberFormat="1" applyFont="1" applyFill="1" applyBorder="1" applyAlignment="1" applyProtection="1">
      <alignment vertical="center"/>
      <protection/>
    </xf>
    <xf numFmtId="0" fontId="1" fillId="0" borderId="16" xfId="0" applyNumberFormat="1" applyFont="1" applyFill="1" applyBorder="1" applyAlignment="1" applyProtection="1">
      <alignment vertical="center"/>
      <protection/>
    </xf>
    <xf numFmtId="49" fontId="3" fillId="0" borderId="17" xfId="0" applyNumberFormat="1" applyFont="1" applyFill="1" applyBorder="1" applyAlignment="1" applyProtection="1">
      <alignment horizontal="right" vertical="center"/>
      <protection/>
    </xf>
    <xf numFmtId="4" fontId="1" fillId="0" borderId="18" xfId="0" applyNumberFormat="1" applyFont="1" applyFill="1" applyBorder="1" applyAlignment="1" applyProtection="1">
      <alignment horizontal="right" vertical="center"/>
      <protection/>
    </xf>
    <xf numFmtId="4" fontId="1" fillId="0" borderId="19" xfId="0" applyNumberFormat="1" applyFont="1" applyFill="1" applyBorder="1" applyAlignment="1" applyProtection="1">
      <alignment horizontal="right" vertical="center"/>
      <protection/>
    </xf>
    <xf numFmtId="49" fontId="3" fillId="0" borderId="20" xfId="0" applyNumberFormat="1" applyFont="1" applyFill="1" applyBorder="1" applyAlignment="1" applyProtection="1">
      <alignment horizontal="left" vertical="center"/>
      <protection/>
    </xf>
    <xf numFmtId="49" fontId="3" fillId="0" borderId="20" xfId="0" applyNumberFormat="1" applyFont="1" applyFill="1" applyBorder="1" applyAlignment="1" applyProtection="1">
      <alignment horizontal="right" vertical="center"/>
      <protection/>
    </xf>
    <xf numFmtId="4" fontId="3" fillId="0" borderId="20" xfId="0" applyNumberFormat="1" applyFont="1" applyFill="1" applyBorder="1" applyAlignment="1" applyProtection="1">
      <alignment horizontal="right" vertical="center"/>
      <protection/>
    </xf>
    <xf numFmtId="49" fontId="3" fillId="0" borderId="21" xfId="0" applyNumberFormat="1" applyFont="1" applyFill="1" applyBorder="1" applyAlignment="1" applyProtection="1">
      <alignment horizontal="left" vertical="center"/>
      <protection/>
    </xf>
    <xf numFmtId="49" fontId="1" fillId="0" borderId="22" xfId="0" applyNumberFormat="1" applyFont="1" applyFill="1" applyBorder="1" applyAlignment="1" applyProtection="1">
      <alignment horizontal="left" vertical="center"/>
      <protection/>
    </xf>
    <xf numFmtId="49" fontId="9" fillId="34" borderId="13" xfId="0" applyNumberFormat="1" applyFont="1" applyFill="1" applyBorder="1" applyAlignment="1" applyProtection="1">
      <alignment horizontal="left" vertical="center"/>
      <protection/>
    </xf>
    <xf numFmtId="49" fontId="10" fillId="33" borderId="0" xfId="0" applyNumberFormat="1" applyFont="1" applyFill="1" applyBorder="1" applyAlignment="1" applyProtection="1">
      <alignment horizontal="left" vertical="center"/>
      <protection/>
    </xf>
    <xf numFmtId="49" fontId="9" fillId="34" borderId="0" xfId="0" applyNumberFormat="1" applyFont="1" applyFill="1" applyBorder="1" applyAlignment="1" applyProtection="1">
      <alignment horizontal="left" vertical="center"/>
      <protection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49" fontId="8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left" vertical="center"/>
      <protection/>
    </xf>
    <xf numFmtId="49" fontId="1" fillId="0" borderId="24" xfId="0" applyNumberFormat="1" applyFont="1" applyFill="1" applyBorder="1" applyAlignment="1" applyProtection="1">
      <alignment horizontal="left" vertical="center"/>
      <protection/>
    </xf>
    <xf numFmtId="49" fontId="11" fillId="34" borderId="13" xfId="0" applyNumberFormat="1" applyFont="1" applyFill="1" applyBorder="1" applyAlignment="1" applyProtection="1">
      <alignment horizontal="left" vertical="center"/>
      <protection/>
    </xf>
    <xf numFmtId="49" fontId="6" fillId="33" borderId="0" xfId="0" applyNumberFormat="1" applyFont="1" applyFill="1" applyBorder="1" applyAlignment="1" applyProtection="1">
      <alignment horizontal="left" vertical="center"/>
      <protection/>
    </xf>
    <xf numFmtId="49" fontId="11" fillId="34" borderId="0" xfId="0" applyNumberFormat="1" applyFont="1" applyFill="1" applyBorder="1" applyAlignment="1" applyProtection="1">
      <alignment horizontal="left" vertical="center"/>
      <protection/>
    </xf>
    <xf numFmtId="49" fontId="3" fillId="0" borderId="24" xfId="0" applyNumberFormat="1" applyFont="1" applyFill="1" applyBorder="1" applyAlignment="1" applyProtection="1">
      <alignment horizontal="left" vertical="center"/>
      <protection/>
    </xf>
    <xf numFmtId="49" fontId="3" fillId="0" borderId="23" xfId="0" applyNumberFormat="1" applyFont="1" applyFill="1" applyBorder="1" applyAlignment="1" applyProtection="1">
      <alignment horizontal="center" vertical="center"/>
      <protection/>
    </xf>
    <xf numFmtId="49" fontId="3" fillId="0" borderId="25" xfId="0" applyNumberFormat="1" applyFont="1" applyFill="1" applyBorder="1" applyAlignment="1" applyProtection="1">
      <alignment horizontal="center" vertical="center"/>
      <protection/>
    </xf>
    <xf numFmtId="49" fontId="3" fillId="0" borderId="26" xfId="0" applyNumberFormat="1" applyFont="1" applyFill="1" applyBorder="1" applyAlignment="1" applyProtection="1">
      <alignment horizontal="center" vertical="center"/>
      <protection/>
    </xf>
    <xf numFmtId="49" fontId="3" fillId="0" borderId="27" xfId="0" applyNumberFormat="1" applyFont="1" applyFill="1" applyBorder="1" applyAlignment="1" applyProtection="1">
      <alignment horizontal="center" vertical="center"/>
      <protection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49" fontId="3" fillId="0" borderId="28" xfId="0" applyNumberFormat="1" applyFont="1" applyFill="1" applyBorder="1" applyAlignment="1" applyProtection="1">
      <alignment horizontal="center" vertical="center"/>
      <protection/>
    </xf>
    <xf numFmtId="49" fontId="11" fillId="34" borderId="13" xfId="0" applyNumberFormat="1" applyFont="1" applyFill="1" applyBorder="1" applyAlignment="1" applyProtection="1">
      <alignment horizontal="right" vertical="center"/>
      <protection/>
    </xf>
    <xf numFmtId="49" fontId="6" fillId="33" borderId="0" xfId="0" applyNumberFormat="1" applyFont="1" applyFill="1" applyBorder="1" applyAlignment="1" applyProtection="1">
      <alignment horizontal="right" vertical="center"/>
      <protection/>
    </xf>
    <xf numFmtId="49" fontId="11" fillId="34" borderId="0" xfId="0" applyNumberFormat="1" applyFont="1" applyFill="1" applyBorder="1" applyAlignment="1" applyProtection="1">
      <alignment horizontal="right" vertical="center"/>
      <protection/>
    </xf>
    <xf numFmtId="4" fontId="4" fillId="0" borderId="11" xfId="0" applyNumberFormat="1" applyFont="1" applyFill="1" applyBorder="1" applyAlignment="1" applyProtection="1">
      <alignment horizontal="right" vertical="center"/>
      <protection/>
    </xf>
    <xf numFmtId="49" fontId="3" fillId="0" borderId="29" xfId="0" applyNumberFormat="1" applyFont="1" applyFill="1" applyBorder="1" applyAlignment="1" applyProtection="1">
      <alignment horizontal="center" vertical="center"/>
      <protection/>
    </xf>
    <xf numFmtId="49" fontId="3" fillId="0" borderId="3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49" fontId="5" fillId="0" borderId="0" xfId="0" applyNumberFormat="1" applyFont="1" applyFill="1" applyBorder="1" applyAlignment="1" applyProtection="1">
      <alignment horizontal="right" vertical="center"/>
      <protection/>
    </xf>
    <xf numFmtId="49" fontId="4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9" fontId="1" fillId="0" borderId="0" xfId="0" applyNumberFormat="1" applyFont="1" applyFill="1" applyBorder="1" applyAlignment="1" applyProtection="1">
      <alignment horizontal="right" vertical="center"/>
      <protection/>
    </xf>
    <xf numFmtId="4" fontId="11" fillId="34" borderId="13" xfId="0" applyNumberFormat="1" applyFont="1" applyFill="1" applyBorder="1" applyAlignment="1" applyProtection="1">
      <alignment horizontal="right" vertical="center"/>
      <protection/>
    </xf>
    <xf numFmtId="4" fontId="11" fillId="34" borderId="0" xfId="0" applyNumberFormat="1" applyFont="1" applyFill="1" applyBorder="1" applyAlignment="1" applyProtection="1">
      <alignment horizontal="right" vertical="center"/>
      <protection/>
    </xf>
    <xf numFmtId="4" fontId="3" fillId="0" borderId="12" xfId="0" applyNumberFormat="1" applyFont="1" applyFill="1" applyBorder="1" applyAlignment="1" applyProtection="1">
      <alignment horizontal="right" vertic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0" fillId="0" borderId="0" xfId="46" applyFont="1">
      <alignment/>
      <protection/>
    </xf>
    <xf numFmtId="0" fontId="0" fillId="0" borderId="0" xfId="46" applyFont="1" applyAlignment="1">
      <alignment/>
      <protection/>
    </xf>
    <xf numFmtId="0" fontId="13" fillId="0" borderId="0" xfId="46" applyFont="1">
      <alignment/>
      <protection/>
    </xf>
    <xf numFmtId="0" fontId="13" fillId="0" borderId="0" xfId="46" applyFont="1" applyAlignment="1">
      <alignment horizontal="left"/>
      <protection/>
    </xf>
    <xf numFmtId="0" fontId="13" fillId="0" borderId="0" xfId="46" applyFont="1" applyAlignment="1">
      <alignment horizontal="right"/>
      <protection/>
    </xf>
    <xf numFmtId="0" fontId="13" fillId="0" borderId="0" xfId="46" applyFont="1" applyAlignment="1">
      <alignment/>
      <protection/>
    </xf>
    <xf numFmtId="0" fontId="14" fillId="0" borderId="0" xfId="46" applyFont="1" applyAlignment="1">
      <alignment horizontal="right"/>
      <protection/>
    </xf>
    <xf numFmtId="14" fontId="14" fillId="0" borderId="0" xfId="46" applyNumberFormat="1" applyFont="1" applyAlignment="1">
      <alignment horizontal="left"/>
      <protection/>
    </xf>
    <xf numFmtId="14" fontId="0" fillId="0" borderId="0" xfId="46" applyNumberFormat="1" applyFont="1" applyAlignment="1">
      <alignment horizontal="left"/>
      <protection/>
    </xf>
    <xf numFmtId="0" fontId="15" fillId="0" borderId="0" xfId="46" applyFont="1" applyAlignment="1">
      <alignment horizontal="right"/>
      <protection/>
    </xf>
    <xf numFmtId="49" fontId="0" fillId="0" borderId="0" xfId="46" applyNumberFormat="1" applyFont="1">
      <alignment/>
      <protection/>
    </xf>
    <xf numFmtId="0" fontId="16" fillId="0" borderId="0" xfId="46" applyFont="1" applyAlignment="1">
      <alignment horizontal="left"/>
      <protection/>
    </xf>
    <xf numFmtId="49" fontId="17" fillId="0" borderId="0" xfId="46" applyNumberFormat="1" applyFont="1" applyAlignment="1">
      <alignment horizontal="left"/>
      <protection/>
    </xf>
    <xf numFmtId="0" fontId="17" fillId="0" borderId="0" xfId="46" applyFont="1" applyAlignment="1">
      <alignment horizontal="left"/>
      <protection/>
    </xf>
    <xf numFmtId="0" fontId="18" fillId="0" borderId="0" xfId="46" applyFont="1">
      <alignment/>
      <protection/>
    </xf>
    <xf numFmtId="0" fontId="18" fillId="0" borderId="0" xfId="46" applyFont="1" applyAlignment="1">
      <alignment/>
      <protection/>
    </xf>
    <xf numFmtId="0" fontId="18" fillId="0" borderId="0" xfId="46" applyFont="1" applyAlignment="1">
      <alignment horizontal="left"/>
      <protection/>
    </xf>
    <xf numFmtId="0" fontId="0" fillId="0" borderId="0" xfId="46" applyFont="1" applyAlignment="1">
      <alignment horizontal="right"/>
      <protection/>
    </xf>
    <xf numFmtId="0" fontId="0" fillId="0" borderId="0" xfId="46" applyFont="1" applyAlignment="1">
      <alignment horizontal="left"/>
      <protection/>
    </xf>
    <xf numFmtId="0" fontId="18" fillId="0" borderId="0" xfId="46" applyFont="1" applyAlignment="1">
      <alignment horizontal="right"/>
      <protection/>
    </xf>
    <xf numFmtId="0" fontId="0" fillId="0" borderId="0" xfId="46" applyFont="1" applyAlignment="1">
      <alignment horizontal="center"/>
      <protection/>
    </xf>
    <xf numFmtId="0" fontId="15" fillId="35" borderId="31" xfId="46" applyFont="1" applyFill="1" applyBorder="1" applyAlignment="1">
      <alignment wrapText="1"/>
      <protection/>
    </xf>
    <xf numFmtId="0" fontId="15" fillId="35" borderId="32" xfId="46" applyFont="1" applyFill="1" applyBorder="1" applyAlignment="1">
      <alignment wrapText="1"/>
      <protection/>
    </xf>
    <xf numFmtId="0" fontId="15" fillId="35" borderId="33" xfId="46" applyFont="1" applyFill="1" applyBorder="1" applyAlignment="1">
      <alignment wrapText="1"/>
      <protection/>
    </xf>
    <xf numFmtId="0" fontId="15" fillId="35" borderId="31" xfId="46" applyFont="1" applyFill="1" applyBorder="1" applyAlignment="1">
      <alignment horizontal="right" wrapText="1"/>
      <protection/>
    </xf>
    <xf numFmtId="0" fontId="0" fillId="35" borderId="32" xfId="46" applyFont="1" applyFill="1" applyBorder="1" applyAlignment="1">
      <alignment/>
      <protection/>
    </xf>
    <xf numFmtId="0" fontId="15" fillId="35" borderId="32" xfId="46" applyFont="1" applyFill="1" applyBorder="1" applyAlignment="1">
      <alignment horizontal="right" wrapText="1"/>
      <protection/>
    </xf>
    <xf numFmtId="0" fontId="15" fillId="35" borderId="33" xfId="46" applyFont="1" applyFill="1" applyBorder="1" applyAlignment="1">
      <alignment horizontal="right" vertical="center"/>
      <protection/>
    </xf>
    <xf numFmtId="0" fontId="15" fillId="36" borderId="0" xfId="46" applyFont="1" applyFill="1" applyBorder="1" applyAlignment="1">
      <alignment horizontal="right" wrapText="1"/>
      <protection/>
    </xf>
    <xf numFmtId="0" fontId="0" fillId="0" borderId="10" xfId="46" applyFont="1" applyBorder="1" applyAlignment="1">
      <alignment vertical="center"/>
      <protection/>
    </xf>
    <xf numFmtId="0" fontId="0" fillId="0" borderId="0" xfId="46" applyFont="1" applyBorder="1" applyAlignment="1">
      <alignment vertical="center"/>
      <protection/>
    </xf>
    <xf numFmtId="1" fontId="0" fillId="0" borderId="0" xfId="46" applyNumberFormat="1" applyFont="1" applyBorder="1" applyAlignment="1">
      <alignment horizontal="right" vertical="center"/>
      <protection/>
    </xf>
    <xf numFmtId="0" fontId="0" fillId="0" borderId="34" xfId="46" applyFont="1" applyBorder="1" applyAlignment="1">
      <alignment vertical="center"/>
      <protection/>
    </xf>
    <xf numFmtId="4" fontId="0" fillId="0" borderId="35" xfId="46" applyNumberFormat="1" applyFont="1" applyBorder="1" applyAlignment="1">
      <alignment horizontal="right" vertical="center"/>
      <protection/>
    </xf>
    <xf numFmtId="4" fontId="0" fillId="0" borderId="12" xfId="46" applyNumberFormat="1" applyFont="1" applyBorder="1" applyAlignment="1">
      <alignment horizontal="right" vertical="center"/>
      <protection/>
    </xf>
    <xf numFmtId="4" fontId="0" fillId="36" borderId="0" xfId="46" applyNumberFormat="1" applyFont="1" applyFill="1" applyBorder="1" applyAlignment="1">
      <alignment vertical="center"/>
      <protection/>
    </xf>
    <xf numFmtId="4" fontId="0" fillId="0" borderId="10" xfId="46" applyNumberFormat="1" applyFont="1" applyBorder="1" applyAlignment="1">
      <alignment horizontal="right" vertical="center"/>
      <protection/>
    </xf>
    <xf numFmtId="4" fontId="0" fillId="0" borderId="0" xfId="46" applyNumberFormat="1" applyFont="1" applyBorder="1" applyAlignment="1">
      <alignment horizontal="right" vertical="center"/>
      <protection/>
    </xf>
    <xf numFmtId="4" fontId="0" fillId="0" borderId="36" xfId="46" applyNumberFormat="1" applyFont="1" applyBorder="1" applyAlignment="1">
      <alignment horizontal="right" vertical="center"/>
      <protection/>
    </xf>
    <xf numFmtId="4" fontId="0" fillId="0" borderId="16" xfId="46" applyNumberFormat="1" applyFont="1" applyBorder="1" applyAlignment="1">
      <alignment horizontal="right" vertical="center"/>
      <protection/>
    </xf>
    <xf numFmtId="0" fontId="17" fillId="37" borderId="31" xfId="46" applyFont="1" applyFill="1" applyBorder="1" applyAlignment="1">
      <alignment vertical="center"/>
      <protection/>
    </xf>
    <xf numFmtId="0" fontId="18" fillId="37" borderId="32" xfId="46" applyFont="1" applyFill="1" applyBorder="1" applyAlignment="1">
      <alignment vertical="center"/>
      <protection/>
    </xf>
    <xf numFmtId="0" fontId="0" fillId="37" borderId="32" xfId="46" applyFont="1" applyFill="1" applyBorder="1" applyAlignment="1">
      <alignment vertical="center"/>
      <protection/>
    </xf>
    <xf numFmtId="4" fontId="17" fillId="37" borderId="37" xfId="46" applyNumberFormat="1" applyFont="1" applyFill="1" applyBorder="1" applyAlignment="1">
      <alignment horizontal="right" vertical="center"/>
      <protection/>
    </xf>
    <xf numFmtId="4" fontId="17" fillId="37" borderId="15" xfId="46" applyNumberFormat="1" applyFont="1" applyFill="1" applyBorder="1" applyAlignment="1">
      <alignment horizontal="right" vertical="center"/>
      <protection/>
    </xf>
    <xf numFmtId="4" fontId="18" fillId="36" borderId="0" xfId="46" applyNumberFormat="1" applyFont="1" applyFill="1" applyBorder="1" applyAlignment="1">
      <alignment vertical="center"/>
      <protection/>
    </xf>
    <xf numFmtId="0" fontId="13" fillId="0" borderId="0" xfId="46" applyFont="1" applyAlignment="1">
      <alignment horizontal="center"/>
      <protection/>
    </xf>
    <xf numFmtId="4" fontId="0" fillId="0" borderId="0" xfId="46" applyNumberFormat="1" applyFont="1">
      <alignment/>
      <protection/>
    </xf>
    <xf numFmtId="0" fontId="15" fillId="35" borderId="31" xfId="46" applyFont="1" applyFill="1" applyBorder="1" applyAlignment="1">
      <alignment vertical="center"/>
      <protection/>
    </xf>
    <xf numFmtId="0" fontId="18" fillId="35" borderId="32" xfId="46" applyFont="1" applyFill="1" applyBorder="1" applyAlignment="1">
      <alignment vertical="center"/>
      <protection/>
    </xf>
    <xf numFmtId="0" fontId="18" fillId="35" borderId="33" xfId="46" applyFont="1" applyFill="1" applyBorder="1" applyAlignment="1">
      <alignment vertical="center" wrapText="1"/>
      <protection/>
    </xf>
    <xf numFmtId="0" fontId="18" fillId="35" borderId="18" xfId="46" applyFont="1" applyFill="1" applyBorder="1" applyAlignment="1">
      <alignment horizontal="center" vertical="center" wrapText="1"/>
      <protection/>
    </xf>
    <xf numFmtId="0" fontId="18" fillId="35" borderId="33" xfId="46" applyFont="1" applyFill="1" applyBorder="1" applyAlignment="1">
      <alignment horizontal="center" vertical="center" wrapText="1"/>
      <protection/>
    </xf>
    <xf numFmtId="49" fontId="14" fillId="0" borderId="35" xfId="46" applyNumberFormat="1" applyFont="1" applyBorder="1" applyAlignment="1">
      <alignment horizontal="left"/>
      <protection/>
    </xf>
    <xf numFmtId="0" fontId="14" fillId="0" borderId="12" xfId="46" applyFont="1" applyBorder="1" applyAlignment="1">
      <alignment horizontal="left"/>
      <protection/>
    </xf>
    <xf numFmtId="0" fontId="14" fillId="0" borderId="12" xfId="46" applyFont="1" applyBorder="1">
      <alignment/>
      <protection/>
    </xf>
    <xf numFmtId="166" fontId="14" fillId="0" borderId="38" xfId="46" applyNumberFormat="1" applyFont="1" applyBorder="1">
      <alignment/>
      <protection/>
    </xf>
    <xf numFmtId="3" fontId="15" fillId="0" borderId="39" xfId="46" applyNumberFormat="1" applyFont="1" applyBorder="1" applyAlignment="1">
      <alignment horizontal="right"/>
      <protection/>
    </xf>
    <xf numFmtId="3" fontId="14" fillId="0" borderId="38" xfId="46" applyNumberFormat="1" applyFont="1" applyBorder="1" applyAlignment="1">
      <alignment horizontal="right"/>
      <protection/>
    </xf>
    <xf numFmtId="3" fontId="14" fillId="0" borderId="39" xfId="46" applyNumberFormat="1" applyFont="1" applyBorder="1" applyAlignment="1">
      <alignment horizontal="right"/>
      <protection/>
    </xf>
    <xf numFmtId="167" fontId="0" fillId="0" borderId="40" xfId="46" applyNumberFormat="1" applyFont="1" applyBorder="1">
      <alignment/>
      <protection/>
    </xf>
    <xf numFmtId="49" fontId="14" fillId="0" borderId="10" xfId="46" applyNumberFormat="1" applyFont="1" applyBorder="1" applyAlignment="1">
      <alignment horizontal="left"/>
      <protection/>
    </xf>
    <xf numFmtId="0" fontId="14" fillId="0" borderId="0" xfId="46" applyFont="1" applyBorder="1" applyAlignment="1">
      <alignment horizontal="left"/>
      <protection/>
    </xf>
    <xf numFmtId="0" fontId="14" fillId="0" borderId="0" xfId="46" applyFont="1" applyBorder="1">
      <alignment/>
      <protection/>
    </xf>
    <xf numFmtId="166" fontId="14" fillId="0" borderId="34" xfId="46" applyNumberFormat="1" applyFont="1" applyBorder="1">
      <alignment/>
      <protection/>
    </xf>
    <xf numFmtId="3" fontId="15" fillId="0" borderId="40" xfId="46" applyNumberFormat="1" applyFont="1" applyBorder="1" applyAlignment="1">
      <alignment horizontal="right"/>
      <protection/>
    </xf>
    <xf numFmtId="3" fontId="14" fillId="0" borderId="34" xfId="46" applyNumberFormat="1" applyFont="1" applyBorder="1" applyAlignment="1">
      <alignment horizontal="right"/>
      <protection/>
    </xf>
    <xf numFmtId="3" fontId="14" fillId="0" borderId="40" xfId="46" applyNumberFormat="1" applyFont="1" applyBorder="1" applyAlignment="1">
      <alignment horizontal="right"/>
      <protection/>
    </xf>
    <xf numFmtId="0" fontId="15" fillId="37" borderId="31" xfId="46" applyFont="1" applyFill="1" applyBorder="1" applyAlignment="1">
      <alignment vertical="center"/>
      <protection/>
    </xf>
    <xf numFmtId="49" fontId="15" fillId="37" borderId="32" xfId="46" applyNumberFormat="1" applyFont="1" applyFill="1" applyBorder="1" applyAlignment="1">
      <alignment horizontal="left" vertical="center"/>
      <protection/>
    </xf>
    <xf numFmtId="0" fontId="15" fillId="37" borderId="32" xfId="46" applyFont="1" applyFill="1" applyBorder="1" applyAlignment="1">
      <alignment vertical="center"/>
      <protection/>
    </xf>
    <xf numFmtId="166" fontId="14" fillId="37" borderId="33" xfId="46" applyNumberFormat="1" applyFont="1" applyFill="1" applyBorder="1">
      <alignment/>
      <protection/>
    </xf>
    <xf numFmtId="3" fontId="15" fillId="37" borderId="18" xfId="46" applyNumberFormat="1" applyFont="1" applyFill="1" applyBorder="1" applyAlignment="1">
      <alignment horizontal="right" vertical="center"/>
      <protection/>
    </xf>
    <xf numFmtId="167" fontId="15" fillId="37" borderId="18" xfId="46" applyNumberFormat="1" applyFont="1" applyFill="1" applyBorder="1" applyAlignment="1">
      <alignment horizontal="right" vertical="center"/>
      <protection/>
    </xf>
    <xf numFmtId="0" fontId="0" fillId="0" borderId="0" xfId="46" applyFont="1" applyAlignment="1">
      <alignment horizontal="left" vertical="top" wrapText="1"/>
      <protection/>
    </xf>
    <xf numFmtId="0" fontId="19" fillId="0" borderId="0" xfId="0" applyFont="1" applyBorder="1" applyAlignment="1">
      <alignment/>
    </xf>
    <xf numFmtId="0" fontId="14" fillId="0" borderId="0" xfId="0" applyFont="1" applyFill="1" applyBorder="1" applyAlignment="1" quotePrefix="1">
      <alignment/>
    </xf>
    <xf numFmtId="0" fontId="14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4" fillId="0" borderId="0" xfId="0" applyFont="1" applyBorder="1" applyAlignment="1" quotePrefix="1">
      <alignment/>
    </xf>
    <xf numFmtId="4" fontId="1" fillId="0" borderId="0" xfId="0" applyNumberFormat="1" applyFont="1" applyAlignment="1">
      <alignment horizontal="right" vertical="center"/>
    </xf>
    <xf numFmtId="0" fontId="16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/>
    </xf>
    <xf numFmtId="0" fontId="14" fillId="0" borderId="0" xfId="0" applyFont="1" applyBorder="1" applyAlignment="1" quotePrefix="1">
      <alignment horizontal="left"/>
    </xf>
    <xf numFmtId="4" fontId="0" fillId="0" borderId="12" xfId="46" applyNumberFormat="1" applyFont="1" applyBorder="1" applyAlignment="1">
      <alignment horizontal="right" vertical="center"/>
      <protection/>
    </xf>
    <xf numFmtId="4" fontId="0" fillId="0" borderId="38" xfId="46" applyNumberFormat="1" applyFont="1" applyBorder="1" applyAlignment="1">
      <alignment horizontal="right" vertical="center"/>
      <protection/>
    </xf>
    <xf numFmtId="4" fontId="0" fillId="0" borderId="0" xfId="46" applyNumberFormat="1" applyFont="1" applyBorder="1" applyAlignment="1">
      <alignment horizontal="right" vertical="center"/>
      <protection/>
    </xf>
    <xf numFmtId="4" fontId="0" fillId="0" borderId="34" xfId="46" applyNumberFormat="1" applyFont="1" applyBorder="1" applyAlignment="1">
      <alignment horizontal="right" vertical="center"/>
      <protection/>
    </xf>
    <xf numFmtId="4" fontId="0" fillId="0" borderId="16" xfId="46" applyNumberFormat="1" applyFont="1" applyBorder="1" applyAlignment="1">
      <alignment horizontal="right" vertical="center"/>
      <protection/>
    </xf>
    <xf numFmtId="4" fontId="0" fillId="0" borderId="41" xfId="46" applyNumberFormat="1" applyFont="1" applyBorder="1" applyAlignment="1">
      <alignment horizontal="right" vertical="center"/>
      <protection/>
    </xf>
    <xf numFmtId="3" fontId="17" fillId="38" borderId="15" xfId="46" applyNumberFormat="1" applyFont="1" applyFill="1" applyBorder="1" applyAlignment="1">
      <alignment horizontal="right" vertical="center"/>
      <protection/>
    </xf>
    <xf numFmtId="3" fontId="17" fillId="38" borderId="42" xfId="46" applyNumberFormat="1" applyFont="1" applyFill="1" applyBorder="1" applyAlignment="1">
      <alignment horizontal="right" vertic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35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Border="1" applyAlignment="1" applyProtection="1">
      <alignment horizontal="left" vertical="center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 horizontal="left" vertical="center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0" fontId="1" fillId="0" borderId="12" xfId="0" applyNumberFormat="1" applyFont="1" applyFill="1" applyBorder="1" applyAlignment="1" applyProtection="1">
      <alignment horizontal="left" vertical="center" wrapText="1"/>
      <protection/>
    </xf>
    <xf numFmtId="49" fontId="1" fillId="0" borderId="38" xfId="0" applyNumberFormat="1" applyFont="1" applyFill="1" applyBorder="1" applyAlignment="1" applyProtection="1">
      <alignment horizontal="left" vertical="center"/>
      <protection/>
    </xf>
    <xf numFmtId="0" fontId="1" fillId="0" borderId="34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0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1" fillId="0" borderId="34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Fill="1" applyBorder="1" applyAlignment="1" applyProtection="1">
      <alignment horizontal="left" vertical="center"/>
      <protection/>
    </xf>
    <xf numFmtId="0" fontId="1" fillId="0" borderId="43" xfId="0" applyNumberFormat="1" applyFont="1" applyFill="1" applyBorder="1" applyAlignment="1" applyProtection="1">
      <alignment horizontal="left" vertical="center"/>
      <protection/>
    </xf>
    <xf numFmtId="0" fontId="1" fillId="0" borderId="11" xfId="0" applyNumberFormat="1" applyFont="1" applyFill="1" applyBorder="1" applyAlignment="1" applyProtection="1">
      <alignment horizontal="left" vertical="center"/>
      <protection/>
    </xf>
    <xf numFmtId="14" fontId="1" fillId="0" borderId="34" xfId="0" applyNumberFormat="1" applyFont="1" applyFill="1" applyBorder="1" applyAlignment="1" applyProtection="1">
      <alignment horizontal="left" vertical="center" wrapText="1"/>
      <protection/>
    </xf>
    <xf numFmtId="0" fontId="1" fillId="0" borderId="44" xfId="0" applyNumberFormat="1" applyFont="1" applyFill="1" applyBorder="1" applyAlignment="1" applyProtection="1">
      <alignment horizontal="left" vertical="center"/>
      <protection/>
    </xf>
    <xf numFmtId="49" fontId="7" fillId="0" borderId="16" xfId="0" applyNumberFormat="1" applyFont="1" applyFill="1" applyBorder="1" applyAlignment="1" applyProtection="1">
      <alignment horizontal="left" vertical="center"/>
      <protection/>
    </xf>
    <xf numFmtId="0" fontId="7" fillId="0" borderId="16" xfId="0" applyNumberFormat="1" applyFont="1" applyFill="1" applyBorder="1" applyAlignment="1" applyProtection="1">
      <alignment horizontal="left" vertical="center"/>
      <protection/>
    </xf>
    <xf numFmtId="49" fontId="3" fillId="0" borderId="45" xfId="0" applyNumberFormat="1" applyFont="1" applyFill="1" applyBorder="1" applyAlignment="1" applyProtection="1">
      <alignment horizontal="left" vertical="center"/>
      <protection/>
    </xf>
    <xf numFmtId="0" fontId="3" fillId="0" borderId="46" xfId="0" applyNumberFormat="1" applyFont="1" applyFill="1" applyBorder="1" applyAlignment="1" applyProtection="1">
      <alignment horizontal="left" vertical="center"/>
      <protection/>
    </xf>
    <xf numFmtId="0" fontId="3" fillId="0" borderId="47" xfId="0" applyNumberFormat="1" applyFont="1" applyFill="1" applyBorder="1" applyAlignment="1" applyProtection="1">
      <alignment horizontal="left" vertical="center"/>
      <protection/>
    </xf>
    <xf numFmtId="49" fontId="1" fillId="0" borderId="31" xfId="0" applyNumberFormat="1" applyFont="1" applyFill="1" applyBorder="1" applyAlignment="1" applyProtection="1">
      <alignment horizontal="left" vertical="center"/>
      <protection/>
    </xf>
    <xf numFmtId="0" fontId="1" fillId="0" borderId="32" xfId="0" applyNumberFormat="1" applyFont="1" applyFill="1" applyBorder="1" applyAlignment="1" applyProtection="1">
      <alignment horizontal="left" vertical="center"/>
      <protection/>
    </xf>
    <xf numFmtId="0" fontId="1" fillId="0" borderId="33" xfId="0" applyNumberFormat="1" applyFont="1" applyFill="1" applyBorder="1" applyAlignment="1" applyProtection="1">
      <alignment horizontal="left" vertical="center"/>
      <protection/>
    </xf>
    <xf numFmtId="49" fontId="1" fillId="0" borderId="48" xfId="0" applyNumberFormat="1" applyFont="1" applyFill="1" applyBorder="1" applyAlignment="1" applyProtection="1">
      <alignment horizontal="left" vertical="center"/>
      <protection/>
    </xf>
    <xf numFmtId="0" fontId="1" fillId="0" borderId="49" xfId="0" applyNumberFormat="1" applyFont="1" applyFill="1" applyBorder="1" applyAlignment="1" applyProtection="1">
      <alignment horizontal="left" vertical="center"/>
      <protection/>
    </xf>
    <xf numFmtId="0" fontId="1" fillId="0" borderId="50" xfId="0" applyNumberFormat="1" applyFont="1" applyFill="1" applyBorder="1" applyAlignment="1" applyProtection="1">
      <alignment horizontal="left" vertical="center"/>
      <protection/>
    </xf>
    <xf numFmtId="49" fontId="3" fillId="0" borderId="37" xfId="0" applyNumberFormat="1" applyFont="1" applyFill="1" applyBorder="1" applyAlignment="1" applyProtection="1">
      <alignment horizontal="left"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0" fontId="3" fillId="0" borderId="51" xfId="0" applyNumberFormat="1" applyFont="1" applyFill="1" applyBorder="1" applyAlignment="1" applyProtection="1">
      <alignment horizontal="left" vertical="center"/>
      <protection/>
    </xf>
    <xf numFmtId="49" fontId="7" fillId="0" borderId="37" xfId="0" applyNumberFormat="1" applyFont="1" applyFill="1" applyBorder="1" applyAlignment="1" applyProtection="1">
      <alignment horizontal="left" vertical="center"/>
      <protection/>
    </xf>
    <xf numFmtId="0" fontId="7" fillId="0" borderId="15" xfId="0" applyNumberFormat="1" applyFont="1" applyFill="1" applyBorder="1" applyAlignment="1" applyProtection="1">
      <alignment horizontal="left" vertical="center"/>
      <protection/>
    </xf>
    <xf numFmtId="0" fontId="7" fillId="0" borderId="51" xfId="0" applyNumberFormat="1" applyFont="1" applyFill="1" applyBorder="1" applyAlignment="1" applyProtection="1">
      <alignment horizontal="left" vertical="center"/>
      <protection/>
    </xf>
    <xf numFmtId="4" fontId="7" fillId="0" borderId="37" xfId="0" applyNumberFormat="1" applyFont="1" applyFill="1" applyBorder="1" applyAlignment="1" applyProtection="1">
      <alignment horizontal="right" vertical="center"/>
      <protection/>
    </xf>
    <xf numFmtId="0" fontId="7" fillId="0" borderId="15" xfId="0" applyNumberFormat="1" applyFont="1" applyFill="1" applyBorder="1" applyAlignment="1" applyProtection="1">
      <alignment horizontal="right" vertical="center"/>
      <protection/>
    </xf>
    <xf numFmtId="0" fontId="7" fillId="0" borderId="51" xfId="0" applyNumberFormat="1" applyFont="1" applyFill="1" applyBorder="1" applyAlignment="1" applyProtection="1">
      <alignment horizontal="right" vertical="center"/>
      <protection/>
    </xf>
    <xf numFmtId="49" fontId="2" fillId="0" borderId="11" xfId="0" applyNumberFormat="1" applyFont="1" applyFill="1" applyBorder="1" applyAlignment="1" applyProtection="1">
      <alignment horizontal="center"/>
      <protection/>
    </xf>
    <xf numFmtId="49" fontId="1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38" xfId="0" applyNumberFormat="1" applyFont="1" applyFill="1" applyBorder="1" applyAlignment="1" applyProtection="1">
      <alignment horizontal="left" vertical="center"/>
      <protection/>
    </xf>
    <xf numFmtId="14" fontId="1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52" xfId="0" applyNumberFormat="1" applyFont="1" applyFill="1" applyBorder="1" applyAlignment="1" applyProtection="1">
      <alignment horizontal="left" vertical="center"/>
      <protection/>
    </xf>
    <xf numFmtId="0" fontId="3" fillId="0" borderId="53" xfId="0" applyNumberFormat="1" applyFont="1" applyFill="1" applyBorder="1" applyAlignment="1" applyProtection="1">
      <alignment horizontal="left" vertical="center"/>
      <protection/>
    </xf>
    <xf numFmtId="0" fontId="3" fillId="0" borderId="49" xfId="0" applyNumberFormat="1" applyFont="1" applyFill="1" applyBorder="1" applyAlignment="1" applyProtection="1">
      <alignment horizontal="left" vertical="center"/>
      <protection/>
    </xf>
    <xf numFmtId="0" fontId="3" fillId="0" borderId="50" xfId="0" applyNumberFormat="1" applyFont="1" applyFill="1" applyBorder="1" applyAlignment="1" applyProtection="1">
      <alignment horizontal="left" vertical="center"/>
      <protection/>
    </xf>
    <xf numFmtId="49" fontId="3" fillId="39" borderId="13" xfId="0" applyNumberFormat="1" applyFont="1" applyFill="1" applyBorder="1" applyAlignment="1" applyProtection="1">
      <alignment horizontal="left" vertical="center"/>
      <protection/>
    </xf>
    <xf numFmtId="0" fontId="3" fillId="39" borderId="13" xfId="0" applyNumberFormat="1" applyFont="1" applyFill="1" applyBorder="1" applyAlignment="1" applyProtection="1">
      <alignment horizontal="left" vertical="center"/>
      <protection/>
    </xf>
    <xf numFmtId="49" fontId="3" fillId="39" borderId="13" xfId="0" applyNumberFormat="1" applyFont="1" applyFill="1" applyBorder="1" applyAlignment="1" applyProtection="1">
      <alignment horizontal="right" vertical="center"/>
      <protection/>
    </xf>
    <xf numFmtId="0" fontId="3" fillId="39" borderId="13" xfId="0" applyNumberFormat="1" applyFont="1" applyFill="1" applyBorder="1" applyAlignment="1" applyProtection="1">
      <alignment horizontal="right" vertical="center"/>
      <protection/>
    </xf>
    <xf numFmtId="4" fontId="3" fillId="39" borderId="13" xfId="0" applyNumberFormat="1" applyFont="1" applyFill="1" applyBorder="1" applyAlignment="1" applyProtection="1">
      <alignment horizontal="right" vertical="center"/>
      <protection/>
    </xf>
    <xf numFmtId="49" fontId="3" fillId="33" borderId="0" xfId="0" applyNumberFormat="1" applyFont="1" applyFill="1" applyBorder="1" applyAlignment="1" applyProtection="1">
      <alignment horizontal="left" vertical="center"/>
      <protection/>
    </xf>
    <xf numFmtId="0" fontId="3" fillId="33" borderId="0" xfId="0" applyNumberFormat="1" applyFont="1" applyFill="1" applyBorder="1" applyAlignment="1" applyProtection="1">
      <alignment horizontal="left" vertical="center"/>
      <protection/>
    </xf>
    <xf numFmtId="49" fontId="3" fillId="33" borderId="0" xfId="0" applyNumberFormat="1" applyFont="1" applyFill="1" applyBorder="1" applyAlignment="1" applyProtection="1">
      <alignment horizontal="right" vertical="center"/>
      <protection/>
    </xf>
    <xf numFmtId="0" fontId="3" fillId="33" borderId="0" xfId="0" applyNumberFormat="1" applyFont="1" applyFill="1" applyBorder="1" applyAlignment="1" applyProtection="1">
      <alignment horizontal="right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4" fontId="4" fillId="0" borderId="0" xfId="0" applyNumberFormat="1" applyFont="1" applyFill="1" applyBorder="1" applyAlignment="1" applyProtection="1">
      <alignment horizontal="right" vertical="center"/>
      <protection/>
    </xf>
    <xf numFmtId="0" fontId="4" fillId="0" borderId="0" xfId="0" applyNumberFormat="1" applyFont="1" applyFill="1" applyBorder="1" applyAlignment="1" applyProtection="1">
      <alignment horizontal="right"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4" fontId="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49" fontId="3" fillId="39" borderId="0" xfId="0" applyNumberFormat="1" applyFont="1" applyFill="1" applyBorder="1" applyAlignment="1" applyProtection="1">
      <alignment horizontal="right" vertical="center"/>
      <protection/>
    </xf>
    <xf numFmtId="0" fontId="3" fillId="39" borderId="0" xfId="0" applyNumberFormat="1" applyFont="1" applyFill="1" applyBorder="1" applyAlignment="1" applyProtection="1">
      <alignment horizontal="right" vertical="center"/>
      <protection/>
    </xf>
    <xf numFmtId="4" fontId="3" fillId="39" borderId="0" xfId="0" applyNumberFormat="1" applyFont="1" applyFill="1" applyBorder="1" applyAlignment="1" applyProtection="1">
      <alignment horizontal="right" vertical="center"/>
      <protection/>
    </xf>
    <xf numFmtId="49" fontId="3" fillId="39" borderId="0" xfId="0" applyNumberFormat="1" applyFont="1" applyFill="1" applyBorder="1" applyAlignment="1" applyProtection="1">
      <alignment horizontal="left" vertical="center"/>
      <protection/>
    </xf>
    <xf numFmtId="0" fontId="3" fillId="39" borderId="0" xfId="0" applyNumberFormat="1" applyFont="1" applyFill="1" applyBorder="1" applyAlignment="1" applyProtection="1">
      <alignment horizontal="left" vertical="center"/>
      <protection/>
    </xf>
    <xf numFmtId="49" fontId="5" fillId="0" borderId="0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4" fontId="5" fillId="0" borderId="0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 horizontal="right" vertical="center"/>
      <protection/>
    </xf>
    <xf numFmtId="4" fontId="6" fillId="39" borderId="0" xfId="0" applyNumberFormat="1" applyFont="1" applyFill="1" applyBorder="1" applyAlignment="1" applyProtection="1">
      <alignment horizontal="right" vertical="center"/>
      <protection/>
    </xf>
    <xf numFmtId="0" fontId="6" fillId="39" borderId="0" xfId="0" applyNumberFormat="1" applyFont="1" applyFill="1" applyBorder="1" applyAlignment="1" applyProtection="1">
      <alignment horizontal="right" vertical="center"/>
      <protection/>
    </xf>
    <xf numFmtId="4" fontId="6" fillId="33" borderId="0" xfId="0" applyNumberFormat="1" applyFont="1" applyFill="1" applyBorder="1" applyAlignment="1" applyProtection="1">
      <alignment horizontal="right" vertical="center"/>
      <protection/>
    </xf>
    <xf numFmtId="0" fontId="6" fillId="33" borderId="0" xfId="0" applyNumberFormat="1" applyFont="1" applyFill="1" applyBorder="1" applyAlignment="1" applyProtection="1">
      <alignment horizontal="right" vertical="center"/>
      <protection/>
    </xf>
    <xf numFmtId="49" fontId="3" fillId="0" borderId="45" xfId="0" applyNumberFormat="1" applyFont="1" applyFill="1" applyBorder="1" applyAlignment="1" applyProtection="1">
      <alignment horizontal="center" vertical="center"/>
      <protection/>
    </xf>
    <xf numFmtId="0" fontId="3" fillId="0" borderId="46" xfId="0" applyNumberFormat="1" applyFont="1" applyFill="1" applyBorder="1" applyAlignment="1" applyProtection="1">
      <alignment horizontal="center" vertical="center"/>
      <protection/>
    </xf>
    <xf numFmtId="0" fontId="3" fillId="0" borderId="47" xfId="0" applyNumberFormat="1" applyFont="1" applyFill="1" applyBorder="1" applyAlignment="1" applyProtection="1">
      <alignment horizontal="center" vertical="center"/>
      <protection/>
    </xf>
    <xf numFmtId="49" fontId="3" fillId="0" borderId="12" xfId="0" applyNumberFormat="1" applyFont="1" applyFill="1" applyBorder="1" applyAlignment="1" applyProtection="1">
      <alignment horizontal="left" vertical="center"/>
      <protection/>
    </xf>
    <xf numFmtId="0" fontId="1" fillId="0" borderId="36" xfId="0" applyNumberFormat="1" applyFont="1" applyFill="1" applyBorder="1" applyAlignment="1" applyProtection="1">
      <alignment horizontal="left" vertical="center"/>
      <protection/>
    </xf>
    <xf numFmtId="0" fontId="1" fillId="0" borderId="16" xfId="0" applyNumberFormat="1" applyFont="1" applyFill="1" applyBorder="1" applyAlignment="1" applyProtection="1">
      <alignment horizontal="left" vertical="center"/>
      <protection/>
    </xf>
    <xf numFmtId="0" fontId="1" fillId="0" borderId="41" xfId="0" applyNumberFormat="1" applyFont="1" applyFill="1" applyBorder="1" applyAlignment="1" applyProtection="1">
      <alignment horizontal="left" vertical="center"/>
      <protection/>
    </xf>
    <xf numFmtId="0" fontId="18" fillId="25" borderId="0" xfId="46" applyFont="1" applyFill="1" applyAlignment="1" applyProtection="1">
      <alignment horizontal="left"/>
      <protection locked="0"/>
    </xf>
    <xf numFmtId="0" fontId="0" fillId="25" borderId="0" xfId="46" applyFont="1" applyFill="1" applyAlignment="1" applyProtection="1">
      <alignment/>
      <protection locked="0"/>
    </xf>
    <xf numFmtId="0" fontId="0" fillId="25" borderId="0" xfId="46" applyFont="1" applyFill="1" applyAlignment="1" applyProtection="1">
      <alignment horizontal="left"/>
      <protection locked="0"/>
    </xf>
    <xf numFmtId="0" fontId="0" fillId="25" borderId="0" xfId="46" applyFont="1" applyFill="1" applyProtection="1">
      <alignment/>
      <protection locked="0"/>
    </xf>
    <xf numFmtId="4" fontId="1" fillId="25" borderId="18" xfId="0" applyNumberFormat="1" applyFont="1" applyFill="1" applyBorder="1" applyAlignment="1" applyProtection="1">
      <alignment horizontal="right" vertical="center"/>
      <protection locked="0"/>
    </xf>
    <xf numFmtId="4" fontId="1" fillId="25" borderId="19" xfId="0" applyNumberFormat="1" applyFont="1" applyFill="1" applyBorder="1" applyAlignment="1" applyProtection="1">
      <alignment horizontal="right" vertical="center"/>
      <protection locked="0"/>
    </xf>
    <xf numFmtId="4" fontId="4" fillId="25" borderId="0" xfId="0" applyNumberFormat="1" applyFont="1" applyFill="1" applyBorder="1" applyAlignment="1" applyProtection="1">
      <alignment horizontal="right" vertical="center"/>
      <protection locked="0"/>
    </xf>
    <xf numFmtId="0" fontId="4" fillId="25" borderId="0" xfId="0" applyNumberFormat="1" applyFont="1" applyFill="1" applyBorder="1" applyAlignment="1" applyProtection="1">
      <alignment horizontal="right" vertical="center"/>
      <protection locked="0"/>
    </xf>
    <xf numFmtId="4" fontId="5" fillId="25" borderId="0" xfId="0" applyNumberFormat="1" applyFont="1" applyFill="1" applyBorder="1" applyAlignment="1" applyProtection="1">
      <alignment horizontal="right" vertical="center"/>
      <protection locked="0"/>
    </xf>
    <xf numFmtId="0" fontId="5" fillId="25" borderId="0" xfId="0" applyNumberFormat="1" applyFont="1" applyFill="1" applyBorder="1" applyAlignment="1" applyProtection="1">
      <alignment horizontal="right" vertical="center"/>
      <protection locked="0"/>
    </xf>
  </cellXfs>
  <cellStyles count="45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 [0]" xfId="35"/>
    <cellStyle name="Chybně" xfId="36"/>
    <cellStyle name="Kontrolní buňka" xfId="37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000000"/>
      <rgbColor rgb="00DBDBDB"/>
      <rgbColor rgb="00000000"/>
      <rgbColor rgb="00C0C0C0"/>
      <rgbColor rgb="00000000"/>
      <rgbColor rgb="00C0C0C0"/>
      <rgbColor rgb="00000000"/>
      <rgbColor rgb="00000000"/>
      <rgbColor rgb="00000000"/>
      <rgbColor rgb="00000000"/>
      <rgbColor rgb="00000000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KAMILA\Sikner\R-Sikner%20RD%20M.Vtelno%20Horak%2002-20\CN%20Sikner-RD%20Radoun_Hora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vba"/>
      <sheetName val="08 VORN"/>
      <sheetName val="01 stavební část"/>
      <sheetName val="02 ZTI"/>
      <sheetName val="03 UT"/>
      <sheetName val="04 elektro"/>
      <sheetName val="05 zpev.plochy"/>
      <sheetName val="06 venk.rozvody"/>
      <sheetName val="07 přípojka vody"/>
      <sheetName val="Stavební rozpočet"/>
    </sheetNames>
    <sheetDataSet>
      <sheetData sheetId="1">
        <row r="36">
          <cell r="I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showGridLines="0" tabSelected="1" zoomScale="90" zoomScaleNormal="90" zoomScaleSheetLayoutView="100" zoomScalePageLayoutView="0" workbookViewId="0" topLeftCell="A1">
      <selection activeCell="F19" sqref="F19"/>
    </sheetView>
  </sheetViews>
  <sheetFormatPr defaultColWidth="9.140625" defaultRowHeight="12.75"/>
  <cols>
    <col min="1" max="1" width="7.140625" style="55" customWidth="1"/>
    <col min="2" max="2" width="11.57421875" style="55" customWidth="1"/>
    <col min="3" max="3" width="19.7109375" style="55" customWidth="1"/>
    <col min="4" max="4" width="13.8515625" style="55" customWidth="1"/>
    <col min="5" max="5" width="13.140625" style="55" customWidth="1"/>
    <col min="6" max="6" width="12.421875" style="56" customWidth="1"/>
    <col min="7" max="7" width="13.57421875" style="55" customWidth="1"/>
    <col min="8" max="8" width="11.421875" style="56" customWidth="1"/>
    <col min="9" max="9" width="27.8515625" style="56" customWidth="1"/>
    <col min="10" max="14" width="10.7109375" style="55" customWidth="1"/>
    <col min="15" max="16384" width="9.140625" style="55" customWidth="1"/>
  </cols>
  <sheetData>
    <row r="1" ht="12" customHeight="1"/>
    <row r="2" spans="1:10" ht="17.25" customHeight="1">
      <c r="A2" s="57"/>
      <c r="B2" s="58" t="s">
        <v>423</v>
      </c>
      <c r="D2" s="59"/>
      <c r="E2" s="58"/>
      <c r="F2" s="60"/>
      <c r="G2" s="61"/>
      <c r="H2" s="62" t="s">
        <v>424</v>
      </c>
      <c r="I2" s="63">
        <v>43977</v>
      </c>
      <c r="J2" s="57"/>
    </row>
    <row r="3" spans="2:3" ht="6" customHeight="1">
      <c r="B3" s="64"/>
      <c r="C3" s="65" t="s">
        <v>6</v>
      </c>
    </row>
    <row r="4" spans="2:14" ht="18.75" customHeight="1">
      <c r="B4" s="66" t="s">
        <v>425</v>
      </c>
      <c r="C4" s="67" t="s">
        <v>446</v>
      </c>
      <c r="D4" s="68"/>
      <c r="E4" s="69"/>
      <c r="F4" s="70"/>
      <c r="G4" s="69"/>
      <c r="H4" s="70"/>
      <c r="N4" s="62"/>
    </row>
    <row r="6" spans="2:10" ht="12.75">
      <c r="B6" s="71" t="s">
        <v>426</v>
      </c>
      <c r="C6" s="71" t="s">
        <v>447</v>
      </c>
      <c r="G6" s="72"/>
      <c r="H6" s="56" t="s">
        <v>427</v>
      </c>
      <c r="I6" s="73"/>
      <c r="J6" s="73"/>
    </row>
    <row r="7" spans="3:10" ht="12.75">
      <c r="C7" s="71" t="s">
        <v>448</v>
      </c>
      <c r="G7" s="72"/>
      <c r="H7" s="56" t="s">
        <v>428</v>
      </c>
      <c r="I7" s="73"/>
      <c r="J7" s="73"/>
    </row>
    <row r="8" spans="2:9" ht="12.75">
      <c r="B8" s="74"/>
      <c r="C8" s="71" t="s">
        <v>449</v>
      </c>
      <c r="G8" s="72"/>
      <c r="I8" s="73"/>
    </row>
    <row r="9" spans="7:9" ht="12.75">
      <c r="G9" s="72"/>
      <c r="I9" s="73"/>
    </row>
    <row r="10" spans="2:10" ht="12.75">
      <c r="B10" s="71" t="s">
        <v>429</v>
      </c>
      <c r="C10" s="234"/>
      <c r="D10" s="237"/>
      <c r="E10" s="237"/>
      <c r="F10" s="235"/>
      <c r="G10" s="72"/>
      <c r="H10" s="235" t="s">
        <v>427</v>
      </c>
      <c r="I10" s="236"/>
      <c r="J10" s="73"/>
    </row>
    <row r="11" spans="2:10" ht="12.75">
      <c r="B11" s="69"/>
      <c r="C11" s="234"/>
      <c r="D11" s="237"/>
      <c r="E11" s="237"/>
      <c r="F11" s="235"/>
      <c r="G11" s="72"/>
      <c r="H11" s="235" t="s">
        <v>428</v>
      </c>
      <c r="I11" s="236"/>
      <c r="J11" s="73"/>
    </row>
    <row r="12" spans="2:9" ht="12" customHeight="1">
      <c r="B12" s="74"/>
      <c r="C12" s="234"/>
      <c r="D12" s="237"/>
      <c r="E12" s="237"/>
      <c r="F12" s="235"/>
      <c r="I12" s="72"/>
    </row>
    <row r="13" spans="2:9" ht="14.25" customHeight="1">
      <c r="B13" s="75" t="s">
        <v>430</v>
      </c>
      <c r="G13" s="75"/>
      <c r="H13" s="56" t="s">
        <v>431</v>
      </c>
      <c r="I13" s="72"/>
    </row>
    <row r="14" ht="12.75" customHeight="1">
      <c r="I14" s="72"/>
    </row>
    <row r="15" spans="2:8" ht="28.5" customHeight="1">
      <c r="B15" s="73" t="s">
        <v>432</v>
      </c>
      <c r="G15" s="75"/>
      <c r="H15" s="56" t="s">
        <v>433</v>
      </c>
    </row>
    <row r="16" ht="25.5" customHeight="1">
      <c r="A16" s="69"/>
    </row>
    <row r="17" spans="1:10" ht="13.5" customHeight="1">
      <c r="A17" s="76"/>
      <c r="B17" s="77"/>
      <c r="C17" s="77"/>
      <c r="D17" s="78"/>
      <c r="E17" s="79"/>
      <c r="F17" s="80"/>
      <c r="G17" s="81"/>
      <c r="H17" s="80"/>
      <c r="I17" s="82" t="s">
        <v>434</v>
      </c>
      <c r="J17" s="83"/>
    </row>
    <row r="18" spans="1:10" ht="15" customHeight="1">
      <c r="A18" s="84" t="s">
        <v>435</v>
      </c>
      <c r="B18" s="85"/>
      <c r="C18" s="86">
        <v>15</v>
      </c>
      <c r="D18" s="87" t="s">
        <v>366</v>
      </c>
      <c r="E18" s="88"/>
      <c r="F18" s="89"/>
      <c r="G18" s="89"/>
      <c r="H18" s="139">
        <f>ROUND(F33,0)</f>
        <v>0</v>
      </c>
      <c r="I18" s="140"/>
      <c r="J18" s="90"/>
    </row>
    <row r="19" spans="1:10" ht="12.75">
      <c r="A19" s="84" t="s">
        <v>436</v>
      </c>
      <c r="B19" s="85"/>
      <c r="C19" s="86">
        <f>SazbaDPH1</f>
        <v>15</v>
      </c>
      <c r="D19" s="87" t="s">
        <v>366</v>
      </c>
      <c r="E19" s="91"/>
      <c r="F19" s="92"/>
      <c r="G19" s="92"/>
      <c r="H19" s="141">
        <f>ROUND(H18*C19/100,0)</f>
        <v>0</v>
      </c>
      <c r="I19" s="142"/>
      <c r="J19" s="90"/>
    </row>
    <row r="20" spans="1:10" ht="12.75">
      <c r="A20" s="84" t="s">
        <v>435</v>
      </c>
      <c r="B20" s="85"/>
      <c r="C20" s="86">
        <v>21</v>
      </c>
      <c r="D20" s="87" t="s">
        <v>366</v>
      </c>
      <c r="E20" s="91"/>
      <c r="F20" s="92"/>
      <c r="G20" s="92"/>
      <c r="H20" s="141">
        <f>ROUND(G33,0)</f>
        <v>0</v>
      </c>
      <c r="I20" s="142"/>
      <c r="J20" s="90"/>
    </row>
    <row r="21" spans="1:10" ht="13.5" thickBot="1">
      <c r="A21" s="84" t="s">
        <v>436</v>
      </c>
      <c r="B21" s="85"/>
      <c r="C21" s="86">
        <f>SazbaDPH2</f>
        <v>21</v>
      </c>
      <c r="D21" s="87" t="s">
        <v>366</v>
      </c>
      <c r="E21" s="93"/>
      <c r="F21" s="94"/>
      <c r="G21" s="94"/>
      <c r="H21" s="143">
        <f>ROUND(H20*C20/100,0)</f>
        <v>0</v>
      </c>
      <c r="I21" s="144"/>
      <c r="J21" s="90"/>
    </row>
    <row r="22" spans="1:10" ht="16.5" thickBot="1">
      <c r="A22" s="95" t="s">
        <v>437</v>
      </c>
      <c r="B22" s="96"/>
      <c r="C22" s="96"/>
      <c r="D22" s="97"/>
      <c r="E22" s="98"/>
      <c r="F22" s="99"/>
      <c r="G22" s="99"/>
      <c r="H22" s="145">
        <f>SUM(H18:H21)</f>
        <v>0</v>
      </c>
      <c r="I22" s="146"/>
      <c r="J22" s="100"/>
    </row>
    <row r="25" ht="1.5" customHeight="1"/>
    <row r="26" spans="1:11" ht="15.75" customHeight="1">
      <c r="A26" s="68" t="s">
        <v>438</v>
      </c>
      <c r="B26" s="101"/>
      <c r="C26" s="101"/>
      <c r="D26" s="101"/>
      <c r="E26" s="101"/>
      <c r="F26" s="101"/>
      <c r="G26" s="101"/>
      <c r="H26" s="101"/>
      <c r="I26" s="101"/>
      <c r="J26" s="101"/>
      <c r="K26" s="102"/>
    </row>
    <row r="27" ht="5.25" customHeight="1">
      <c r="K27" s="102"/>
    </row>
    <row r="28" spans="1:9" ht="24" customHeight="1">
      <c r="A28" s="103" t="s">
        <v>439</v>
      </c>
      <c r="B28" s="104"/>
      <c r="C28" s="104"/>
      <c r="D28" s="105"/>
      <c r="E28" s="106" t="s">
        <v>440</v>
      </c>
      <c r="F28" s="107" t="str">
        <f>CONCATENATE("Základ DPH ",SazbaDPH1," %")</f>
        <v>Základ DPH 15 %</v>
      </c>
      <c r="G28" s="106" t="str">
        <f>CONCATENATE("Základ DPH ",SazbaDPH2," %")</f>
        <v>Základ DPH 21 %</v>
      </c>
      <c r="H28" s="106" t="s">
        <v>441</v>
      </c>
      <c r="I28" s="106" t="s">
        <v>366</v>
      </c>
    </row>
    <row r="29" spans="1:9" ht="12.75">
      <c r="A29" s="108" t="s">
        <v>99</v>
      </c>
      <c r="B29" s="109" t="s">
        <v>451</v>
      </c>
      <c r="C29" s="110"/>
      <c r="D29" s="111"/>
      <c r="E29" s="112">
        <f>F29+G29+H29</f>
        <v>0</v>
      </c>
      <c r="F29" s="113"/>
      <c r="G29" s="114">
        <f>'01-BOURACÍ PRÁCE'!BN40</f>
        <v>0</v>
      </c>
      <c r="H29" s="114">
        <f>(F29*SazbaDPH1)/100+(G29*SazbaDPH2)/100</f>
        <v>0</v>
      </c>
      <c r="I29" s="115">
        <f>IF(CelkemObjekty=0,"",E29/CelkemObjekty*100)</f>
      </c>
    </row>
    <row r="30" spans="1:9" ht="12.75">
      <c r="A30" s="116" t="s">
        <v>100</v>
      </c>
      <c r="B30" s="117" t="s">
        <v>452</v>
      </c>
      <c r="C30" s="118"/>
      <c r="D30" s="119"/>
      <c r="E30" s="120">
        <f>F30+G30+H30</f>
        <v>0</v>
      </c>
      <c r="F30" s="121"/>
      <c r="G30" s="122">
        <f>'02-STAVEBNÍ ČÁST'!BN55</f>
        <v>0</v>
      </c>
      <c r="H30" s="122">
        <f>(F30*SazbaDPH1)/100+(G30*SazbaDPH2)/100</f>
        <v>0</v>
      </c>
      <c r="I30" s="115">
        <f>IF(CelkemObjekty=0,"",E30/CelkemObjekty*100)</f>
      </c>
    </row>
    <row r="31" spans="1:9" ht="12.75">
      <c r="A31" s="116" t="s">
        <v>101</v>
      </c>
      <c r="B31" s="117" t="s">
        <v>453</v>
      </c>
      <c r="C31" s="118"/>
      <c r="D31" s="119"/>
      <c r="E31" s="120">
        <f>F31+G31+H31</f>
        <v>0</v>
      </c>
      <c r="F31" s="121"/>
      <c r="G31" s="122">
        <f>'03-ZTI+ELEKTRO'!BN57</f>
        <v>0</v>
      </c>
      <c r="H31" s="122">
        <f>(F31*SazbaDPH1)/100+(G31*SazbaDPH2)/100</f>
        <v>0</v>
      </c>
      <c r="I31" s="115">
        <f>IF(CelkemObjekty=0,"",E31/CelkemObjekty*100)</f>
      </c>
    </row>
    <row r="32" spans="1:9" ht="12.75">
      <c r="A32" s="116" t="s">
        <v>442</v>
      </c>
      <c r="B32" s="117" t="s">
        <v>443</v>
      </c>
      <c r="C32" s="118"/>
      <c r="D32" s="119"/>
      <c r="E32" s="120">
        <f>F32+G32+H32</f>
        <v>0</v>
      </c>
      <c r="F32" s="121"/>
      <c r="G32" s="122">
        <f>VORN!I18+VORN!I27+VORN!I35</f>
        <v>0</v>
      </c>
      <c r="H32" s="122">
        <f>(F32*SazbaDPH1)/100+(G32*SazbaDPH2)/100</f>
        <v>0</v>
      </c>
      <c r="I32" s="115">
        <f>IF(CelkemObjekty=0,"",E32/CelkemObjekty*100)</f>
      </c>
    </row>
    <row r="33" spans="1:9" ht="17.25" customHeight="1">
      <c r="A33" s="123" t="s">
        <v>444</v>
      </c>
      <c r="B33" s="124"/>
      <c r="C33" s="125"/>
      <c r="D33" s="126"/>
      <c r="E33" s="127">
        <f>SUM(E29:E32)</f>
        <v>0</v>
      </c>
      <c r="F33" s="127">
        <f>SUM(F29:F32)</f>
        <v>0</v>
      </c>
      <c r="G33" s="127">
        <f>SUM(G29:G32)</f>
        <v>0</v>
      </c>
      <c r="H33" s="127">
        <f>SUM(H29:H32)</f>
        <v>0</v>
      </c>
      <c r="I33" s="128">
        <f>IF(CelkemObjekty=0,"",E33/CelkemObjekty*100)</f>
      </c>
    </row>
    <row r="34" spans="1:10" ht="12.75">
      <c r="A34" s="129"/>
      <c r="B34" s="129"/>
      <c r="C34" s="129"/>
      <c r="D34" s="129"/>
      <c r="E34" s="129"/>
      <c r="F34" s="129"/>
      <c r="G34" s="129"/>
      <c r="H34" s="129"/>
      <c r="I34" s="129"/>
      <c r="J34" s="129"/>
    </row>
    <row r="35" ht="12.75">
      <c r="A35" s="69"/>
    </row>
    <row r="37" ht="12.75">
      <c r="A37" s="130" t="s">
        <v>445</v>
      </c>
    </row>
    <row r="38" ht="12.75">
      <c r="A38" s="131" t="s">
        <v>450</v>
      </c>
    </row>
    <row r="39" spans="1:2" ht="15">
      <c r="A39" s="131" t="s">
        <v>456</v>
      </c>
      <c r="B39" s="136"/>
    </row>
    <row r="40" spans="1:2" ht="15">
      <c r="A40" s="131" t="s">
        <v>457</v>
      </c>
      <c r="B40" s="136"/>
    </row>
    <row r="41" spans="1:2" ht="15">
      <c r="A41" s="137"/>
      <c r="B41" s="138" t="s">
        <v>459</v>
      </c>
    </row>
    <row r="42" spans="1:2" ht="15">
      <c r="A42" s="137"/>
      <c r="B42" s="138" t="s">
        <v>458</v>
      </c>
    </row>
    <row r="43" ht="12.75">
      <c r="A43" s="133"/>
    </row>
    <row r="44" ht="12.75">
      <c r="A44" s="131"/>
    </row>
    <row r="45" ht="12.75">
      <c r="A45" s="131"/>
    </row>
    <row r="46" ht="12.75">
      <c r="A46" s="131"/>
    </row>
    <row r="47" ht="12.75">
      <c r="A47" s="134"/>
    </row>
    <row r="48" ht="12.75">
      <c r="A48" s="134"/>
    </row>
    <row r="49" ht="12.75">
      <c r="A49" s="131"/>
    </row>
    <row r="50" ht="12.75">
      <c r="A50" s="132"/>
    </row>
    <row r="51" ht="12.75">
      <c r="A51" s="131"/>
    </row>
    <row r="52" ht="12.75">
      <c r="A52" s="131"/>
    </row>
  </sheetData>
  <sheetProtection sheet="1"/>
  <mergeCells count="5">
    <mergeCell ref="H18:I18"/>
    <mergeCell ref="H19:I19"/>
    <mergeCell ref="H20:I20"/>
    <mergeCell ref="H21:I21"/>
    <mergeCell ref="H22:I22"/>
  </mergeCells>
  <printOptions/>
  <pageMargins left="0.3937007874015748" right="0.1968503937007874" top="0.53" bottom="0.3937007874015748" header="0" footer="0.1968503937007874"/>
  <pageSetup fitToHeight="9999" horizontalDpi="600" verticalDpi="600" orientation="landscape" paperSize="9" scale="81" r:id="rId1"/>
  <rowBreaks count="1" manualBreakCount="1">
    <brk id="43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7"/>
  <sheetViews>
    <sheetView zoomScale="90" zoomScaleNormal="90" zoomScaleSheetLayoutView="100" zoomScalePageLayoutView="0" workbookViewId="0" topLeftCell="A1">
      <selection activeCell="F35" sqref="F35:H35"/>
    </sheetView>
  </sheetViews>
  <sheetFormatPr defaultColWidth="11.57421875" defaultRowHeight="12.75"/>
  <cols>
    <col min="1" max="1" width="9.140625" style="0" customWidth="1"/>
    <col min="2" max="2" width="12.8515625" style="0" customWidth="1"/>
    <col min="3" max="3" width="22.8515625" style="0" customWidth="1"/>
    <col min="4" max="4" width="10.00390625" style="0" customWidth="1"/>
    <col min="5" max="5" width="14.00390625" style="0" customWidth="1"/>
    <col min="6" max="6" width="22.8515625" style="0" customWidth="1"/>
    <col min="7" max="7" width="9.140625" style="0" customWidth="1"/>
    <col min="8" max="8" width="17.140625" style="0" customWidth="1"/>
    <col min="9" max="9" width="22.8515625" style="0" customWidth="1"/>
  </cols>
  <sheetData>
    <row r="1" spans="1:9" ht="50.25" customHeight="1">
      <c r="A1" s="54"/>
      <c r="B1" s="9"/>
      <c r="C1" s="147" t="s">
        <v>364</v>
      </c>
      <c r="D1" s="148"/>
      <c r="E1" s="148"/>
      <c r="F1" s="148"/>
      <c r="G1" s="148"/>
      <c r="H1" s="148"/>
      <c r="I1" s="148"/>
    </row>
    <row r="2" spans="1:10" ht="12.75">
      <c r="A2" s="149" t="s">
        <v>1</v>
      </c>
      <c r="B2" s="150"/>
      <c r="C2" s="153" t="str">
        <f>'Stavební rozpočet'!D2</f>
        <v>Stavební úpravy soc.zařízení ZŠ Želízy</v>
      </c>
      <c r="D2" s="154"/>
      <c r="E2" s="156" t="s">
        <v>334</v>
      </c>
      <c r="F2" s="157" t="s">
        <v>454</v>
      </c>
      <c r="G2" s="150"/>
      <c r="H2" s="156" t="s">
        <v>352</v>
      </c>
      <c r="I2" s="158"/>
      <c r="J2" s="5"/>
    </row>
    <row r="3" spans="1:10" ht="12.75">
      <c r="A3" s="151"/>
      <c r="B3" s="152"/>
      <c r="C3" s="155"/>
      <c r="D3" s="155"/>
      <c r="E3" s="152"/>
      <c r="F3" s="152"/>
      <c r="G3" s="152"/>
      <c r="H3" s="152"/>
      <c r="I3" s="159"/>
      <c r="J3" s="5"/>
    </row>
    <row r="4" spans="1:10" ht="12.75">
      <c r="A4" s="160" t="s">
        <v>2</v>
      </c>
      <c r="B4" s="152"/>
      <c r="C4" s="161" t="str">
        <f>'Stavební rozpočet'!D4</f>
        <v> </v>
      </c>
      <c r="D4" s="152"/>
      <c r="E4" s="161" t="s">
        <v>335</v>
      </c>
      <c r="F4" s="162" t="s">
        <v>455</v>
      </c>
      <c r="G4" s="152"/>
      <c r="H4" s="161" t="s">
        <v>352</v>
      </c>
      <c r="I4" s="163"/>
      <c r="J4" s="5"/>
    </row>
    <row r="5" spans="1:10" ht="12.75">
      <c r="A5" s="151"/>
      <c r="B5" s="152"/>
      <c r="C5" s="152"/>
      <c r="D5" s="152"/>
      <c r="E5" s="152"/>
      <c r="F5" s="152"/>
      <c r="G5" s="152"/>
      <c r="H5" s="152"/>
      <c r="I5" s="159"/>
      <c r="J5" s="5"/>
    </row>
    <row r="6" spans="1:10" ht="12.75">
      <c r="A6" s="160" t="s">
        <v>3</v>
      </c>
      <c r="B6" s="152"/>
      <c r="C6" s="161" t="str">
        <f>'Stavební rozpočet'!D6</f>
        <v>č.parc.st. 77, Želízy</v>
      </c>
      <c r="D6" s="152"/>
      <c r="E6" s="161" t="s">
        <v>336</v>
      </c>
      <c r="F6" s="161" t="str">
        <f>'Stavební rozpočet'!J6</f>
        <v> </v>
      </c>
      <c r="G6" s="152"/>
      <c r="H6" s="161" t="s">
        <v>352</v>
      </c>
      <c r="I6" s="163"/>
      <c r="J6" s="5"/>
    </row>
    <row r="7" spans="1:10" ht="12.75">
      <c r="A7" s="151"/>
      <c r="B7" s="152"/>
      <c r="C7" s="152"/>
      <c r="D7" s="152"/>
      <c r="E7" s="152"/>
      <c r="F7" s="152"/>
      <c r="G7" s="152"/>
      <c r="H7" s="152"/>
      <c r="I7" s="159"/>
      <c r="J7" s="5"/>
    </row>
    <row r="8" spans="1:10" ht="12.75">
      <c r="A8" s="160" t="s">
        <v>321</v>
      </c>
      <c r="B8" s="152"/>
      <c r="C8" s="161"/>
      <c r="D8" s="152"/>
      <c r="E8" s="161" t="s">
        <v>322</v>
      </c>
      <c r="F8" s="161" t="str">
        <f>'Stavební rozpočet'!G6</f>
        <v> </v>
      </c>
      <c r="G8" s="152"/>
      <c r="H8" s="164" t="s">
        <v>353</v>
      </c>
      <c r="I8" s="163" t="s">
        <v>460</v>
      </c>
      <c r="J8" s="5"/>
    </row>
    <row r="9" spans="1:10" ht="12.75">
      <c r="A9" s="151"/>
      <c r="B9" s="152"/>
      <c r="C9" s="152"/>
      <c r="D9" s="152"/>
      <c r="E9" s="152"/>
      <c r="F9" s="152"/>
      <c r="G9" s="152"/>
      <c r="H9" s="152"/>
      <c r="I9" s="159"/>
      <c r="J9" s="5"/>
    </row>
    <row r="10" spans="1:10" ht="12.75">
      <c r="A10" s="160" t="s">
        <v>4</v>
      </c>
      <c r="B10" s="152"/>
      <c r="C10" s="161" t="str">
        <f>'Stavební rozpočet'!D8</f>
        <v> </v>
      </c>
      <c r="D10" s="152"/>
      <c r="E10" s="161" t="s">
        <v>337</v>
      </c>
      <c r="F10" s="161" t="str">
        <f>F4</f>
        <v>PMM projekt s.r.o., Pražská 3939, 276 01 Mělník</v>
      </c>
      <c r="G10" s="152"/>
      <c r="H10" s="164" t="s">
        <v>354</v>
      </c>
      <c r="I10" s="167">
        <v>43977</v>
      </c>
      <c r="J10" s="5"/>
    </row>
    <row r="11" spans="1:10" ht="12.75">
      <c r="A11" s="165"/>
      <c r="B11" s="166"/>
      <c r="C11" s="166"/>
      <c r="D11" s="166"/>
      <c r="E11" s="166"/>
      <c r="F11" s="166"/>
      <c r="G11" s="166"/>
      <c r="H11" s="166"/>
      <c r="I11" s="168"/>
      <c r="J11" s="5"/>
    </row>
    <row r="12" spans="1:9" ht="12.75">
      <c r="A12" s="10"/>
      <c r="B12" s="10"/>
      <c r="C12" s="10"/>
      <c r="D12" s="10"/>
      <c r="E12" s="10"/>
      <c r="F12" s="10"/>
      <c r="G12" s="10"/>
      <c r="H12" s="10"/>
      <c r="I12" s="10"/>
    </row>
    <row r="13" spans="1:9" ht="15" customHeight="1">
      <c r="A13" s="169" t="s">
        <v>356</v>
      </c>
      <c r="B13" s="170"/>
      <c r="C13" s="170"/>
      <c r="D13" s="170"/>
      <c r="E13" s="170"/>
      <c r="F13" s="14"/>
      <c r="G13" s="14"/>
      <c r="H13" s="14"/>
      <c r="I13" s="14"/>
    </row>
    <row r="14" spans="1:10" ht="12.75">
      <c r="A14" s="171" t="s">
        <v>357</v>
      </c>
      <c r="B14" s="172"/>
      <c r="C14" s="172"/>
      <c r="D14" s="172"/>
      <c r="E14" s="173"/>
      <c r="F14" s="15" t="s">
        <v>365</v>
      </c>
      <c r="G14" s="15" t="s">
        <v>366</v>
      </c>
      <c r="H14" s="15" t="s">
        <v>367</v>
      </c>
      <c r="I14" s="15" t="s">
        <v>365</v>
      </c>
      <c r="J14" s="12"/>
    </row>
    <row r="15" spans="1:10" ht="12.75">
      <c r="A15" s="174" t="s">
        <v>343</v>
      </c>
      <c r="B15" s="175"/>
      <c r="C15" s="175"/>
      <c r="D15" s="175"/>
      <c r="E15" s="176"/>
      <c r="F15" s="238">
        <v>0</v>
      </c>
      <c r="G15" s="238"/>
      <c r="H15" s="16">
        <f>Stavba!G29+Stavba!G30+Stavba!G31</f>
        <v>0</v>
      </c>
      <c r="I15" s="16">
        <f>F15+G15*H15*0.01</f>
        <v>0</v>
      </c>
      <c r="J15" s="5"/>
    </row>
    <row r="16" spans="1:10" ht="12.75">
      <c r="A16" s="174" t="s">
        <v>344</v>
      </c>
      <c r="B16" s="175"/>
      <c r="C16" s="175"/>
      <c r="D16" s="175"/>
      <c r="E16" s="176"/>
      <c r="F16" s="238">
        <v>0</v>
      </c>
      <c r="G16" s="238"/>
      <c r="H16" s="16">
        <f>H15</f>
        <v>0</v>
      </c>
      <c r="I16" s="16">
        <f>F16+G16*H16*0.01</f>
        <v>0</v>
      </c>
      <c r="J16" s="5"/>
    </row>
    <row r="17" spans="1:10" ht="12.75">
      <c r="A17" s="177" t="s">
        <v>345</v>
      </c>
      <c r="B17" s="178"/>
      <c r="C17" s="178"/>
      <c r="D17" s="178"/>
      <c r="E17" s="179"/>
      <c r="F17" s="239">
        <v>0</v>
      </c>
      <c r="G17" s="239"/>
      <c r="H17" s="17">
        <f>H15</f>
        <v>0</v>
      </c>
      <c r="I17" s="16">
        <f>F17+G17*H17*0.01</f>
        <v>0</v>
      </c>
      <c r="J17" s="5"/>
    </row>
    <row r="18" spans="1:10" ht="12.75">
      <c r="A18" s="180" t="s">
        <v>358</v>
      </c>
      <c r="B18" s="181"/>
      <c r="C18" s="181"/>
      <c r="D18" s="181"/>
      <c r="E18" s="182"/>
      <c r="F18" s="18"/>
      <c r="G18" s="19"/>
      <c r="H18" s="19"/>
      <c r="I18" s="20">
        <f>SUM(I15:I17)</f>
        <v>0</v>
      </c>
      <c r="J18" s="12"/>
    </row>
    <row r="19" spans="1:9" ht="12.75">
      <c r="A19" s="13"/>
      <c r="B19" s="13"/>
      <c r="C19" s="13"/>
      <c r="D19" s="13"/>
      <c r="E19" s="13"/>
      <c r="F19" s="13"/>
      <c r="G19" s="13"/>
      <c r="H19" s="13"/>
      <c r="I19" s="13"/>
    </row>
    <row r="20" spans="1:10" ht="12.75">
      <c r="A20" s="171" t="s">
        <v>355</v>
      </c>
      <c r="B20" s="172"/>
      <c r="C20" s="172"/>
      <c r="D20" s="172"/>
      <c r="E20" s="173"/>
      <c r="F20" s="15" t="s">
        <v>365</v>
      </c>
      <c r="G20" s="15" t="s">
        <v>366</v>
      </c>
      <c r="H20" s="15" t="s">
        <v>367</v>
      </c>
      <c r="I20" s="15" t="s">
        <v>365</v>
      </c>
      <c r="J20" s="12"/>
    </row>
    <row r="21" spans="1:10" ht="12.75">
      <c r="A21" s="174" t="s">
        <v>346</v>
      </c>
      <c r="B21" s="175"/>
      <c r="C21" s="175"/>
      <c r="D21" s="175"/>
      <c r="E21" s="176"/>
      <c r="F21" s="238">
        <v>0</v>
      </c>
      <c r="G21" s="238"/>
      <c r="H21" s="16">
        <f>Stavba!G29+Stavba!G30+Stavba!G31</f>
        <v>0</v>
      </c>
      <c r="I21" s="16">
        <f aca="true" t="shared" si="0" ref="I21:I26">F21+G21*H21*0.01</f>
        <v>0</v>
      </c>
      <c r="J21" s="5"/>
    </row>
    <row r="22" spans="1:10" ht="12.75">
      <c r="A22" s="174" t="s">
        <v>347</v>
      </c>
      <c r="B22" s="175"/>
      <c r="C22" s="175"/>
      <c r="D22" s="175"/>
      <c r="E22" s="176"/>
      <c r="F22" s="238">
        <v>0</v>
      </c>
      <c r="G22" s="238"/>
      <c r="H22" s="16">
        <f>H21</f>
        <v>0</v>
      </c>
      <c r="I22" s="16">
        <f t="shared" si="0"/>
        <v>0</v>
      </c>
      <c r="J22" s="5"/>
    </row>
    <row r="23" spans="1:10" ht="12.75">
      <c r="A23" s="174" t="s">
        <v>348</v>
      </c>
      <c r="B23" s="175"/>
      <c r="C23" s="175"/>
      <c r="D23" s="175"/>
      <c r="E23" s="176"/>
      <c r="F23" s="238">
        <v>0</v>
      </c>
      <c r="G23" s="238"/>
      <c r="H23" s="16">
        <f>H21</f>
        <v>0</v>
      </c>
      <c r="I23" s="16">
        <f t="shared" si="0"/>
        <v>0</v>
      </c>
      <c r="J23" s="5"/>
    </row>
    <row r="24" spans="1:10" ht="12.75">
      <c r="A24" s="174" t="s">
        <v>349</v>
      </c>
      <c r="B24" s="175"/>
      <c r="C24" s="175"/>
      <c r="D24" s="175"/>
      <c r="E24" s="176"/>
      <c r="F24" s="238">
        <v>0</v>
      </c>
      <c r="G24" s="238"/>
      <c r="H24" s="16">
        <f>H21</f>
        <v>0</v>
      </c>
      <c r="I24" s="16">
        <f t="shared" si="0"/>
        <v>0</v>
      </c>
      <c r="J24" s="5"/>
    </row>
    <row r="25" spans="1:10" ht="12.75">
      <c r="A25" s="174" t="s">
        <v>350</v>
      </c>
      <c r="B25" s="175"/>
      <c r="C25" s="175"/>
      <c r="D25" s="175"/>
      <c r="E25" s="176"/>
      <c r="F25" s="238">
        <v>0</v>
      </c>
      <c r="G25" s="238"/>
      <c r="H25" s="16">
        <f>H21</f>
        <v>0</v>
      </c>
      <c r="I25" s="16">
        <f t="shared" si="0"/>
        <v>0</v>
      </c>
      <c r="J25" s="5"/>
    </row>
    <row r="26" spans="1:10" ht="12.75">
      <c r="A26" s="177" t="s">
        <v>351</v>
      </c>
      <c r="B26" s="178"/>
      <c r="C26" s="178"/>
      <c r="D26" s="178"/>
      <c r="E26" s="179"/>
      <c r="F26" s="239">
        <v>0</v>
      </c>
      <c r="G26" s="239"/>
      <c r="H26" s="17">
        <f>H21</f>
        <v>0</v>
      </c>
      <c r="I26" s="16">
        <f t="shared" si="0"/>
        <v>0</v>
      </c>
      <c r="J26" s="5"/>
    </row>
    <row r="27" spans="1:10" ht="12.75">
      <c r="A27" s="180" t="s">
        <v>359</v>
      </c>
      <c r="B27" s="181"/>
      <c r="C27" s="181"/>
      <c r="D27" s="181"/>
      <c r="E27" s="182"/>
      <c r="F27" s="18"/>
      <c r="G27" s="19"/>
      <c r="H27" s="19"/>
      <c r="I27" s="20">
        <f>SUM(I21:I26)</f>
        <v>0</v>
      </c>
      <c r="J27" s="12"/>
    </row>
    <row r="28" spans="1:9" ht="12.75">
      <c r="A28" s="13"/>
      <c r="B28" s="13"/>
      <c r="C28" s="13"/>
      <c r="D28" s="13"/>
      <c r="E28" s="13"/>
      <c r="F28" s="13"/>
      <c r="G28" s="13"/>
      <c r="H28" s="13"/>
      <c r="I28" s="13"/>
    </row>
    <row r="29" spans="1:10" ht="15" customHeight="1">
      <c r="A29" s="183" t="s">
        <v>360</v>
      </c>
      <c r="B29" s="184"/>
      <c r="C29" s="184"/>
      <c r="D29" s="184"/>
      <c r="E29" s="185"/>
      <c r="F29" s="186">
        <f>I18+I27</f>
        <v>0</v>
      </c>
      <c r="G29" s="187"/>
      <c r="H29" s="187"/>
      <c r="I29" s="188"/>
      <c r="J29" s="12"/>
    </row>
    <row r="30" spans="1:9" ht="12.75">
      <c r="A30" s="11"/>
      <c r="B30" s="11"/>
      <c r="C30" s="11"/>
      <c r="D30" s="11"/>
      <c r="E30" s="11"/>
      <c r="F30" s="11"/>
      <c r="G30" s="11"/>
      <c r="H30" s="11"/>
      <c r="I30" s="11"/>
    </row>
    <row r="33" spans="1:9" ht="15" customHeight="1">
      <c r="A33" s="169" t="s">
        <v>361</v>
      </c>
      <c r="B33" s="170"/>
      <c r="C33" s="170"/>
      <c r="D33" s="170"/>
      <c r="E33" s="170"/>
      <c r="F33" s="14"/>
      <c r="G33" s="14"/>
      <c r="H33" s="14"/>
      <c r="I33" s="14"/>
    </row>
    <row r="34" spans="1:10" ht="12.75">
      <c r="A34" s="171" t="s">
        <v>362</v>
      </c>
      <c r="B34" s="172"/>
      <c r="C34" s="172"/>
      <c r="D34" s="172"/>
      <c r="E34" s="173"/>
      <c r="F34" s="15" t="s">
        <v>365</v>
      </c>
      <c r="G34" s="15" t="s">
        <v>366</v>
      </c>
      <c r="H34" s="15" t="s">
        <v>367</v>
      </c>
      <c r="I34" s="15" t="s">
        <v>365</v>
      </c>
      <c r="J34" s="12"/>
    </row>
    <row r="35" spans="1:10" ht="12.75">
      <c r="A35" s="177"/>
      <c r="B35" s="178"/>
      <c r="C35" s="178"/>
      <c r="D35" s="178"/>
      <c r="E35" s="179"/>
      <c r="F35" s="239">
        <v>0</v>
      </c>
      <c r="G35" s="239"/>
      <c r="H35" s="17">
        <f>H21</f>
        <v>0</v>
      </c>
      <c r="I35" s="17">
        <f>F35+G35*H35*0.01</f>
        <v>0</v>
      </c>
      <c r="J35" s="5"/>
    </row>
    <row r="36" spans="1:10" ht="12.75">
      <c r="A36" s="180" t="s">
        <v>363</v>
      </c>
      <c r="B36" s="181"/>
      <c r="C36" s="181"/>
      <c r="D36" s="181"/>
      <c r="E36" s="182"/>
      <c r="F36" s="18"/>
      <c r="G36" s="19"/>
      <c r="H36" s="19"/>
      <c r="I36" s="20">
        <f>SUM(I35:I35)</f>
        <v>0</v>
      </c>
      <c r="J36" s="12"/>
    </row>
    <row r="37" spans="1:9" ht="12.75">
      <c r="A37" s="11"/>
      <c r="B37" s="11"/>
      <c r="C37" s="11"/>
      <c r="D37" s="11"/>
      <c r="E37" s="11"/>
      <c r="F37" s="11"/>
      <c r="G37" s="11"/>
      <c r="H37" s="11"/>
      <c r="I37" s="11"/>
    </row>
  </sheetData>
  <sheetProtection sheet="1"/>
  <mergeCells count="51">
    <mergeCell ref="A35:E35"/>
    <mergeCell ref="A36:E36"/>
    <mergeCell ref="A26:E26"/>
    <mergeCell ref="A27:E27"/>
    <mergeCell ref="A29:E29"/>
    <mergeCell ref="F29:I29"/>
    <mergeCell ref="A33:E33"/>
    <mergeCell ref="A34:E34"/>
    <mergeCell ref="A20:E20"/>
    <mergeCell ref="A21:E21"/>
    <mergeCell ref="A22:E22"/>
    <mergeCell ref="A23:E23"/>
    <mergeCell ref="A24:E24"/>
    <mergeCell ref="A25:E25"/>
    <mergeCell ref="A13:E13"/>
    <mergeCell ref="A14:E14"/>
    <mergeCell ref="A15:E15"/>
    <mergeCell ref="A16:E16"/>
    <mergeCell ref="A17:E17"/>
    <mergeCell ref="A18:E18"/>
    <mergeCell ref="A10:B11"/>
    <mergeCell ref="C10:D11"/>
    <mergeCell ref="E10:E11"/>
    <mergeCell ref="F10:G11"/>
    <mergeCell ref="H10:H11"/>
    <mergeCell ref="I10:I11"/>
    <mergeCell ref="A8:B9"/>
    <mergeCell ref="C8:D9"/>
    <mergeCell ref="E8:E9"/>
    <mergeCell ref="F8:G9"/>
    <mergeCell ref="H8:H9"/>
    <mergeCell ref="I8:I9"/>
    <mergeCell ref="A6:B7"/>
    <mergeCell ref="C6:D7"/>
    <mergeCell ref="E6:E7"/>
    <mergeCell ref="F6:G7"/>
    <mergeCell ref="H6:H7"/>
    <mergeCell ref="I6:I7"/>
    <mergeCell ref="A4:B5"/>
    <mergeCell ref="C4:D5"/>
    <mergeCell ref="E4:E5"/>
    <mergeCell ref="F4:G5"/>
    <mergeCell ref="H4:H5"/>
    <mergeCell ref="I4:I5"/>
    <mergeCell ref="C1:I1"/>
    <mergeCell ref="A2:B3"/>
    <mergeCell ref="C2:D3"/>
    <mergeCell ref="E2:E3"/>
    <mergeCell ref="F2:G3"/>
    <mergeCell ref="H2:H3"/>
    <mergeCell ref="I2:I3"/>
  </mergeCells>
  <printOptions/>
  <pageMargins left="0.394" right="0.394" top="0.591" bottom="0.591" header="0.5" footer="0.5"/>
  <pageSetup fitToHeight="0" fitToWidth="1" horizontalDpi="600" verticalDpi="600" orientation="landscape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0"/>
  <sheetViews>
    <sheetView zoomScale="90" zoomScaleNormal="90" zoomScaleSheetLayoutView="100" zoomScalePageLayoutView="0" workbookViewId="0" topLeftCell="A1">
      <pane ySplit="10" topLeftCell="A11" activePane="bottomLeft" state="frozen"/>
      <selection pane="topLeft" activeCell="B38" sqref="B38"/>
      <selection pane="bottomLeft" activeCell="AR20" sqref="AR20:BD20"/>
    </sheetView>
  </sheetViews>
  <sheetFormatPr defaultColWidth="11.57421875" defaultRowHeight="12.75"/>
  <cols>
    <col min="1" max="64" width="2.8515625" style="0" customWidth="1"/>
    <col min="65" max="65" width="11.57421875" style="0" customWidth="1"/>
    <col min="66" max="66" width="0" style="135" hidden="1" customWidth="1"/>
    <col min="67" max="250" width="11.57421875" style="0" customWidth="1"/>
    <col min="251" max="254" width="12.140625" style="0" hidden="1" customWidth="1"/>
  </cols>
  <sheetData>
    <row r="1" spans="1:64" ht="34.5" customHeight="1">
      <c r="A1" s="189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</row>
    <row r="2" spans="1:65" ht="12.75">
      <c r="A2" s="149" t="s">
        <v>1</v>
      </c>
      <c r="B2" s="150"/>
      <c r="C2" s="150"/>
      <c r="D2" s="150"/>
      <c r="E2" s="150"/>
      <c r="F2" s="153" t="str">
        <f>'Stavební rozpočet'!D2</f>
        <v>Stavební úpravy soc.zařízení ZŠ Želízy</v>
      </c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90" t="s">
        <v>320</v>
      </c>
      <c r="AK2" s="150"/>
      <c r="AL2" s="150"/>
      <c r="AM2" s="150"/>
      <c r="AN2" s="150"/>
      <c r="AO2" s="150"/>
      <c r="AP2" s="150"/>
      <c r="AQ2" s="156" t="str">
        <f>'Stavební rozpočet'!G2</f>
        <v> </v>
      </c>
      <c r="AR2" s="150"/>
      <c r="AS2" s="150"/>
      <c r="AT2" s="150"/>
      <c r="AU2" s="150"/>
      <c r="AV2" s="150"/>
      <c r="AW2" s="156" t="s">
        <v>334</v>
      </c>
      <c r="AX2" s="150"/>
      <c r="AY2" s="150"/>
      <c r="AZ2" s="150"/>
      <c r="BA2" s="150"/>
      <c r="BB2" s="150"/>
      <c r="BC2" s="150"/>
      <c r="BD2" s="156" t="str">
        <f>VORN!F2</f>
        <v>Obec Želízy, č.p. 46, 277 21 Želízy</v>
      </c>
      <c r="BE2" s="150"/>
      <c r="BF2" s="150"/>
      <c r="BG2" s="150"/>
      <c r="BH2" s="150"/>
      <c r="BI2" s="150"/>
      <c r="BJ2" s="150"/>
      <c r="BK2" s="150"/>
      <c r="BL2" s="191"/>
      <c r="BM2" s="5"/>
    </row>
    <row r="3" spans="1:65" ht="12.75">
      <c r="A3" s="151"/>
      <c r="B3" s="152"/>
      <c r="C3" s="152"/>
      <c r="D3" s="152"/>
      <c r="E3" s="152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9"/>
      <c r="BM3" s="5"/>
    </row>
    <row r="4" spans="1:65" ht="12.75">
      <c r="A4" s="160" t="s">
        <v>2</v>
      </c>
      <c r="B4" s="152"/>
      <c r="C4" s="152"/>
      <c r="D4" s="152"/>
      <c r="E4" s="152"/>
      <c r="F4" s="161" t="str">
        <f>'Stavební rozpočet'!D4</f>
        <v> 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64" t="s">
        <v>321</v>
      </c>
      <c r="AK4" s="152"/>
      <c r="AL4" s="152"/>
      <c r="AM4" s="152"/>
      <c r="AN4" s="152"/>
      <c r="AO4" s="152"/>
      <c r="AP4" s="152"/>
      <c r="AQ4" s="161"/>
      <c r="AR4" s="152"/>
      <c r="AS4" s="152"/>
      <c r="AT4" s="152"/>
      <c r="AU4" s="152"/>
      <c r="AV4" s="152"/>
      <c r="AW4" s="161" t="s">
        <v>335</v>
      </c>
      <c r="AX4" s="152"/>
      <c r="AY4" s="152"/>
      <c r="AZ4" s="152"/>
      <c r="BA4" s="152"/>
      <c r="BB4" s="152"/>
      <c r="BC4" s="152"/>
      <c r="BD4" s="161" t="str">
        <f>VORN!F4</f>
        <v>PMM projekt s.r.o., Pražská 3939, 276 01 Mělník</v>
      </c>
      <c r="BE4" s="152"/>
      <c r="BF4" s="152"/>
      <c r="BG4" s="152"/>
      <c r="BH4" s="152"/>
      <c r="BI4" s="152"/>
      <c r="BJ4" s="152"/>
      <c r="BK4" s="152"/>
      <c r="BL4" s="159"/>
      <c r="BM4" s="5"/>
    </row>
    <row r="5" spans="1:65" ht="12.7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9"/>
      <c r="BM5" s="5"/>
    </row>
    <row r="6" spans="1:65" ht="12.75">
      <c r="A6" s="160" t="s">
        <v>3</v>
      </c>
      <c r="B6" s="152"/>
      <c r="C6" s="152"/>
      <c r="D6" s="152"/>
      <c r="E6" s="152"/>
      <c r="F6" s="161" t="str">
        <f>'Stavební rozpočet'!D6</f>
        <v>č.parc.st. 77, Želízy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64" t="s">
        <v>322</v>
      </c>
      <c r="AK6" s="152"/>
      <c r="AL6" s="152"/>
      <c r="AM6" s="152"/>
      <c r="AN6" s="152"/>
      <c r="AO6" s="152"/>
      <c r="AP6" s="152"/>
      <c r="AQ6" s="161" t="str">
        <f>'Stavební rozpočet'!G6</f>
        <v> </v>
      </c>
      <c r="AR6" s="152"/>
      <c r="AS6" s="152"/>
      <c r="AT6" s="152"/>
      <c r="AU6" s="152"/>
      <c r="AV6" s="152"/>
      <c r="AW6" s="161" t="s">
        <v>336</v>
      </c>
      <c r="AX6" s="152"/>
      <c r="AY6" s="152"/>
      <c r="AZ6" s="152"/>
      <c r="BA6" s="152"/>
      <c r="BB6" s="152"/>
      <c r="BC6" s="152"/>
      <c r="BD6" s="161" t="str">
        <f>'Stavební rozpočet'!J6</f>
        <v> </v>
      </c>
      <c r="BE6" s="152"/>
      <c r="BF6" s="152"/>
      <c r="BG6" s="152"/>
      <c r="BH6" s="152"/>
      <c r="BI6" s="152"/>
      <c r="BJ6" s="152"/>
      <c r="BK6" s="152"/>
      <c r="BL6" s="159"/>
      <c r="BM6" s="5"/>
    </row>
    <row r="7" spans="1:65" ht="12.75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9"/>
      <c r="BM7" s="5"/>
    </row>
    <row r="8" spans="1:65" ht="12.75">
      <c r="A8" s="160" t="s">
        <v>4</v>
      </c>
      <c r="B8" s="152"/>
      <c r="C8" s="152"/>
      <c r="D8" s="152"/>
      <c r="E8" s="152"/>
      <c r="F8" s="161" t="str">
        <f>'Stavební rozpočet'!D8</f>
        <v> </v>
      </c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64" t="s">
        <v>323</v>
      </c>
      <c r="AK8" s="152"/>
      <c r="AL8" s="152"/>
      <c r="AM8" s="152"/>
      <c r="AN8" s="152"/>
      <c r="AO8" s="152"/>
      <c r="AP8" s="152"/>
      <c r="AQ8" s="192">
        <v>43977</v>
      </c>
      <c r="AR8" s="152"/>
      <c r="AS8" s="152"/>
      <c r="AT8" s="152"/>
      <c r="AU8" s="152"/>
      <c r="AV8" s="152"/>
      <c r="AW8" s="161" t="s">
        <v>337</v>
      </c>
      <c r="AX8" s="152"/>
      <c r="AY8" s="152"/>
      <c r="AZ8" s="152"/>
      <c r="BA8" s="152"/>
      <c r="BB8" s="152"/>
      <c r="BC8" s="152"/>
      <c r="BD8" s="161" t="str">
        <f>BD4</f>
        <v>PMM projekt s.r.o., Pražská 3939, 276 01 Mělník</v>
      </c>
      <c r="BE8" s="152"/>
      <c r="BF8" s="152"/>
      <c r="BG8" s="152"/>
      <c r="BH8" s="152"/>
      <c r="BI8" s="152"/>
      <c r="BJ8" s="152"/>
      <c r="BK8" s="152"/>
      <c r="BL8" s="159"/>
      <c r="BM8" s="5"/>
    </row>
    <row r="9" spans="1:65" ht="12.75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8"/>
      <c r="BM9" s="5"/>
    </row>
    <row r="10" spans="1:65" ht="12.75">
      <c r="A10" s="193" t="s">
        <v>5</v>
      </c>
      <c r="B10" s="194"/>
      <c r="C10" s="193" t="s">
        <v>98</v>
      </c>
      <c r="D10" s="195"/>
      <c r="E10" s="194"/>
      <c r="F10" s="193" t="s">
        <v>102</v>
      </c>
      <c r="G10" s="195"/>
      <c r="H10" s="195"/>
      <c r="I10" s="195"/>
      <c r="J10" s="195"/>
      <c r="K10" s="194"/>
      <c r="L10" s="193" t="s">
        <v>206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4"/>
      <c r="AP10" s="193" t="s">
        <v>324</v>
      </c>
      <c r="AQ10" s="194"/>
      <c r="AR10" s="193" t="s">
        <v>333</v>
      </c>
      <c r="AS10" s="195"/>
      <c r="AT10" s="195"/>
      <c r="AU10" s="195"/>
      <c r="AV10" s="194"/>
      <c r="AW10" s="193" t="s">
        <v>338</v>
      </c>
      <c r="AX10" s="195"/>
      <c r="AY10" s="195"/>
      <c r="AZ10" s="195"/>
      <c r="BA10" s="195"/>
      <c r="BB10" s="195"/>
      <c r="BC10" s="195"/>
      <c r="BD10" s="194"/>
      <c r="BE10" s="193" t="s">
        <v>340</v>
      </c>
      <c r="BF10" s="195"/>
      <c r="BG10" s="195"/>
      <c r="BH10" s="195"/>
      <c r="BI10" s="195"/>
      <c r="BJ10" s="195"/>
      <c r="BK10" s="195"/>
      <c r="BL10" s="196"/>
      <c r="BM10" s="5"/>
    </row>
    <row r="11" spans="1:64" ht="12.75">
      <c r="A11" s="197" t="s">
        <v>6</v>
      </c>
      <c r="B11" s="198"/>
      <c r="C11" s="197" t="s">
        <v>6</v>
      </c>
      <c r="D11" s="198"/>
      <c r="E11" s="198"/>
      <c r="F11" s="197"/>
      <c r="G11" s="198"/>
      <c r="H11" s="198"/>
      <c r="I11" s="198"/>
      <c r="J11" s="198"/>
      <c r="K11" s="198"/>
      <c r="L11" s="197" t="s">
        <v>207</v>
      </c>
      <c r="M11" s="198"/>
      <c r="N11" s="198"/>
      <c r="O11" s="198"/>
      <c r="P11" s="198"/>
      <c r="Q11" s="198"/>
      <c r="R11" s="198"/>
      <c r="S11" s="198"/>
      <c r="T11" s="198"/>
      <c r="U11" s="198"/>
      <c r="V11" s="198"/>
      <c r="W11" s="198"/>
      <c r="X11" s="198"/>
      <c r="Y11" s="198"/>
      <c r="Z11" s="198"/>
      <c r="AA11" s="198"/>
      <c r="AB11" s="198"/>
      <c r="AC11" s="198"/>
      <c r="AD11" s="198"/>
      <c r="AE11" s="198"/>
      <c r="AF11" s="198"/>
      <c r="AG11" s="198"/>
      <c r="AH11" s="198"/>
      <c r="AI11" s="198"/>
      <c r="AJ11" s="198"/>
      <c r="AK11" s="198"/>
      <c r="AL11" s="198"/>
      <c r="AM11" s="198"/>
      <c r="AN11" s="198"/>
      <c r="AO11" s="198"/>
      <c r="AP11" s="197" t="s">
        <v>6</v>
      </c>
      <c r="AQ11" s="198"/>
      <c r="AR11" s="199" t="s">
        <v>6</v>
      </c>
      <c r="AS11" s="200"/>
      <c r="AT11" s="200"/>
      <c r="AU11" s="200"/>
      <c r="AV11" s="200"/>
      <c r="AW11" s="199" t="s">
        <v>6</v>
      </c>
      <c r="AX11" s="200"/>
      <c r="AY11" s="200"/>
      <c r="AZ11" s="200"/>
      <c r="BA11" s="200"/>
      <c r="BB11" s="200"/>
      <c r="BC11" s="200"/>
      <c r="BD11" s="200"/>
      <c r="BE11" s="201">
        <f>BE12+BE14+BE32</f>
        <v>0</v>
      </c>
      <c r="BF11" s="200"/>
      <c r="BG11" s="200"/>
      <c r="BH11" s="200"/>
      <c r="BI11" s="200"/>
      <c r="BJ11" s="200"/>
      <c r="BK11" s="200"/>
      <c r="BL11" s="200"/>
    </row>
    <row r="12" spans="1:64" ht="12.75">
      <c r="A12" s="202" t="s">
        <v>6</v>
      </c>
      <c r="B12" s="203"/>
      <c r="C12" s="202" t="s">
        <v>6</v>
      </c>
      <c r="D12" s="203"/>
      <c r="E12" s="203"/>
      <c r="F12" s="202" t="s">
        <v>103</v>
      </c>
      <c r="G12" s="203"/>
      <c r="H12" s="203"/>
      <c r="I12" s="203"/>
      <c r="J12" s="203"/>
      <c r="K12" s="203"/>
      <c r="L12" s="202" t="s">
        <v>208</v>
      </c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2" t="s">
        <v>6</v>
      </c>
      <c r="AQ12" s="203"/>
      <c r="AR12" s="204" t="s">
        <v>6</v>
      </c>
      <c r="AS12" s="205"/>
      <c r="AT12" s="205"/>
      <c r="AU12" s="205"/>
      <c r="AV12" s="205"/>
      <c r="AW12" s="204" t="s">
        <v>6</v>
      </c>
      <c r="AX12" s="205"/>
      <c r="AY12" s="205"/>
      <c r="AZ12" s="205"/>
      <c r="BA12" s="205"/>
      <c r="BB12" s="205"/>
      <c r="BC12" s="205"/>
      <c r="BD12" s="205"/>
      <c r="BE12" s="206">
        <f>SUM(BE13:BE13)</f>
        <v>0</v>
      </c>
      <c r="BF12" s="205"/>
      <c r="BG12" s="205"/>
      <c r="BH12" s="205"/>
      <c r="BI12" s="205"/>
      <c r="BJ12" s="205"/>
      <c r="BK12" s="205"/>
      <c r="BL12" s="205"/>
    </row>
    <row r="13" spans="1:253" ht="12.75">
      <c r="A13" s="207" t="s">
        <v>7</v>
      </c>
      <c r="B13" s="208"/>
      <c r="C13" s="207" t="s">
        <v>99</v>
      </c>
      <c r="D13" s="208"/>
      <c r="E13" s="208"/>
      <c r="F13" s="207" t="s">
        <v>104</v>
      </c>
      <c r="G13" s="208"/>
      <c r="H13" s="208"/>
      <c r="I13" s="208"/>
      <c r="J13" s="208"/>
      <c r="K13" s="208"/>
      <c r="L13" s="207" t="s">
        <v>209</v>
      </c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7" t="s">
        <v>325</v>
      </c>
      <c r="AQ13" s="208"/>
      <c r="AR13" s="209">
        <v>30.15</v>
      </c>
      <c r="AS13" s="210"/>
      <c r="AT13" s="210"/>
      <c r="AU13" s="210"/>
      <c r="AV13" s="210"/>
      <c r="AW13" s="240"/>
      <c r="AX13" s="241"/>
      <c r="AY13" s="241"/>
      <c r="AZ13" s="241"/>
      <c r="BA13" s="241"/>
      <c r="BB13" s="241"/>
      <c r="BC13" s="241"/>
      <c r="BD13" s="241"/>
      <c r="BE13" s="209">
        <f>AR13*AW13</f>
        <v>0</v>
      </c>
      <c r="BF13" s="210"/>
      <c r="BG13" s="210"/>
      <c r="BH13" s="210"/>
      <c r="BI13" s="210"/>
      <c r="BJ13" s="210"/>
      <c r="BK13" s="210"/>
      <c r="BL13" s="210"/>
      <c r="BN13" s="135">
        <f>AR13*AW13</f>
        <v>0</v>
      </c>
      <c r="IR13" s="7">
        <f>AW13*0.0144264252313203</f>
        <v>0</v>
      </c>
      <c r="IS13" s="7">
        <f>AW13*(1-0.0144264252313203)</f>
        <v>0</v>
      </c>
    </row>
    <row r="14" spans="1:64" ht="12.75">
      <c r="A14" s="202" t="s">
        <v>6</v>
      </c>
      <c r="B14" s="203"/>
      <c r="C14" s="202" t="s">
        <v>6</v>
      </c>
      <c r="D14" s="203"/>
      <c r="E14" s="203"/>
      <c r="F14" s="202" t="s">
        <v>105</v>
      </c>
      <c r="G14" s="203"/>
      <c r="H14" s="203"/>
      <c r="I14" s="203"/>
      <c r="J14" s="203"/>
      <c r="K14" s="203"/>
      <c r="L14" s="202" t="s">
        <v>210</v>
      </c>
      <c r="M14" s="203"/>
      <c r="N14" s="203"/>
      <c r="O14" s="203"/>
      <c r="P14" s="203"/>
      <c r="Q14" s="203"/>
      <c r="R14" s="203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2" t="s">
        <v>6</v>
      </c>
      <c r="AQ14" s="203"/>
      <c r="AR14" s="204" t="s">
        <v>6</v>
      </c>
      <c r="AS14" s="205"/>
      <c r="AT14" s="205"/>
      <c r="AU14" s="205"/>
      <c r="AV14" s="205"/>
      <c r="AW14" s="204" t="s">
        <v>6</v>
      </c>
      <c r="AX14" s="205"/>
      <c r="AY14" s="205"/>
      <c r="AZ14" s="205"/>
      <c r="BA14" s="205"/>
      <c r="BB14" s="205"/>
      <c r="BC14" s="205"/>
      <c r="BD14" s="205"/>
      <c r="BE14" s="206">
        <f>SUM(BE15:BL31)</f>
        <v>0</v>
      </c>
      <c r="BF14" s="205"/>
      <c r="BG14" s="205"/>
      <c r="BH14" s="205"/>
      <c r="BI14" s="205"/>
      <c r="BJ14" s="205"/>
      <c r="BK14" s="205"/>
      <c r="BL14" s="205"/>
    </row>
    <row r="15" spans="1:253" ht="12.75">
      <c r="A15" s="207" t="s">
        <v>8</v>
      </c>
      <c r="B15" s="208"/>
      <c r="C15" s="207" t="s">
        <v>99</v>
      </c>
      <c r="D15" s="208"/>
      <c r="E15" s="208"/>
      <c r="F15" s="207" t="s">
        <v>106</v>
      </c>
      <c r="G15" s="208"/>
      <c r="H15" s="208"/>
      <c r="I15" s="208"/>
      <c r="J15" s="208"/>
      <c r="K15" s="208"/>
      <c r="L15" s="207" t="s">
        <v>211</v>
      </c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7" t="s">
        <v>326</v>
      </c>
      <c r="AQ15" s="208"/>
      <c r="AR15" s="209">
        <v>1</v>
      </c>
      <c r="AS15" s="210"/>
      <c r="AT15" s="210"/>
      <c r="AU15" s="210"/>
      <c r="AV15" s="210"/>
      <c r="AW15" s="240"/>
      <c r="AX15" s="241"/>
      <c r="AY15" s="241"/>
      <c r="AZ15" s="241"/>
      <c r="BA15" s="241"/>
      <c r="BB15" s="241"/>
      <c r="BC15" s="241"/>
      <c r="BD15" s="241"/>
      <c r="BE15" s="209">
        <f>AR15*AW15</f>
        <v>0</v>
      </c>
      <c r="BF15" s="210"/>
      <c r="BG15" s="210"/>
      <c r="BH15" s="210"/>
      <c r="BI15" s="210"/>
      <c r="BJ15" s="210"/>
      <c r="BK15" s="210"/>
      <c r="BL15" s="210"/>
      <c r="BN15" s="135">
        <f aca="true" t="shared" si="0" ref="BN15:BN38">AR15*AW15</f>
        <v>0</v>
      </c>
      <c r="IR15" s="7">
        <f aca="true" t="shared" si="1" ref="IR15:IR24">AW15*0</f>
        <v>0</v>
      </c>
      <c r="IS15" s="7">
        <f aca="true" t="shared" si="2" ref="IS15:IS24">AW15*(1-0)</f>
        <v>0</v>
      </c>
    </row>
    <row r="16" spans="1:253" ht="12.75">
      <c r="A16" s="207" t="s">
        <v>9</v>
      </c>
      <c r="B16" s="208"/>
      <c r="C16" s="207" t="s">
        <v>99</v>
      </c>
      <c r="D16" s="208"/>
      <c r="E16" s="208"/>
      <c r="F16" s="207" t="s">
        <v>107</v>
      </c>
      <c r="G16" s="208"/>
      <c r="H16" s="208"/>
      <c r="I16" s="208"/>
      <c r="J16" s="208"/>
      <c r="K16" s="208"/>
      <c r="L16" s="207" t="s">
        <v>212</v>
      </c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7" t="s">
        <v>326</v>
      </c>
      <c r="AQ16" s="208"/>
      <c r="AR16" s="209">
        <v>1</v>
      </c>
      <c r="AS16" s="210"/>
      <c r="AT16" s="210"/>
      <c r="AU16" s="210"/>
      <c r="AV16" s="210"/>
      <c r="AW16" s="240"/>
      <c r="AX16" s="241"/>
      <c r="AY16" s="241"/>
      <c r="AZ16" s="241"/>
      <c r="BA16" s="241"/>
      <c r="BB16" s="241"/>
      <c r="BC16" s="241"/>
      <c r="BD16" s="241"/>
      <c r="BE16" s="209">
        <f aca="true" t="shared" si="3" ref="BE16:BE31">AR16*AW16</f>
        <v>0</v>
      </c>
      <c r="BF16" s="210"/>
      <c r="BG16" s="210"/>
      <c r="BH16" s="210"/>
      <c r="BI16" s="210"/>
      <c r="BJ16" s="210"/>
      <c r="BK16" s="210"/>
      <c r="BL16" s="210"/>
      <c r="BN16" s="135">
        <f t="shared" si="0"/>
        <v>0</v>
      </c>
      <c r="IR16" s="7">
        <f t="shared" si="1"/>
        <v>0</v>
      </c>
      <c r="IS16" s="7">
        <f t="shared" si="2"/>
        <v>0</v>
      </c>
    </row>
    <row r="17" spans="1:253" ht="12.75">
      <c r="A17" s="207" t="s">
        <v>10</v>
      </c>
      <c r="B17" s="208"/>
      <c r="C17" s="207" t="s">
        <v>99</v>
      </c>
      <c r="D17" s="208"/>
      <c r="E17" s="208"/>
      <c r="F17" s="207" t="s">
        <v>108</v>
      </c>
      <c r="G17" s="208"/>
      <c r="H17" s="208"/>
      <c r="I17" s="208"/>
      <c r="J17" s="208"/>
      <c r="K17" s="208"/>
      <c r="L17" s="207" t="s">
        <v>213</v>
      </c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7" t="s">
        <v>327</v>
      </c>
      <c r="AQ17" s="208"/>
      <c r="AR17" s="209">
        <v>3</v>
      </c>
      <c r="AS17" s="210"/>
      <c r="AT17" s="210"/>
      <c r="AU17" s="210"/>
      <c r="AV17" s="210"/>
      <c r="AW17" s="240"/>
      <c r="AX17" s="241"/>
      <c r="AY17" s="241"/>
      <c r="AZ17" s="241"/>
      <c r="BA17" s="241"/>
      <c r="BB17" s="241"/>
      <c r="BC17" s="241"/>
      <c r="BD17" s="241"/>
      <c r="BE17" s="209">
        <f t="shared" si="3"/>
        <v>0</v>
      </c>
      <c r="BF17" s="210"/>
      <c r="BG17" s="210"/>
      <c r="BH17" s="210"/>
      <c r="BI17" s="210"/>
      <c r="BJ17" s="210"/>
      <c r="BK17" s="210"/>
      <c r="BL17" s="210"/>
      <c r="BN17" s="135">
        <f t="shared" si="0"/>
        <v>0</v>
      </c>
      <c r="IR17" s="7">
        <f t="shared" si="1"/>
        <v>0</v>
      </c>
      <c r="IS17" s="7">
        <f t="shared" si="2"/>
        <v>0</v>
      </c>
    </row>
    <row r="18" spans="1:253" ht="12.75">
      <c r="A18" s="207" t="s">
        <v>11</v>
      </c>
      <c r="B18" s="208"/>
      <c r="C18" s="207" t="s">
        <v>99</v>
      </c>
      <c r="D18" s="208"/>
      <c r="E18" s="208"/>
      <c r="F18" s="207" t="s">
        <v>109</v>
      </c>
      <c r="G18" s="208"/>
      <c r="H18" s="208"/>
      <c r="I18" s="208"/>
      <c r="J18" s="208"/>
      <c r="K18" s="208"/>
      <c r="L18" s="207" t="s">
        <v>214</v>
      </c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7" t="s">
        <v>327</v>
      </c>
      <c r="AQ18" s="208"/>
      <c r="AR18" s="209">
        <v>3</v>
      </c>
      <c r="AS18" s="210"/>
      <c r="AT18" s="210"/>
      <c r="AU18" s="210"/>
      <c r="AV18" s="210"/>
      <c r="AW18" s="240"/>
      <c r="AX18" s="241"/>
      <c r="AY18" s="241"/>
      <c r="AZ18" s="241"/>
      <c r="BA18" s="241"/>
      <c r="BB18" s="241"/>
      <c r="BC18" s="241"/>
      <c r="BD18" s="241"/>
      <c r="BE18" s="209">
        <f t="shared" si="3"/>
        <v>0</v>
      </c>
      <c r="BF18" s="210"/>
      <c r="BG18" s="210"/>
      <c r="BH18" s="210"/>
      <c r="BI18" s="210"/>
      <c r="BJ18" s="210"/>
      <c r="BK18" s="210"/>
      <c r="BL18" s="210"/>
      <c r="BN18" s="135">
        <f t="shared" si="0"/>
        <v>0</v>
      </c>
      <c r="IR18" s="7">
        <f t="shared" si="1"/>
        <v>0</v>
      </c>
      <c r="IS18" s="7">
        <f t="shared" si="2"/>
        <v>0</v>
      </c>
    </row>
    <row r="19" spans="1:253" ht="12.75">
      <c r="A19" s="207" t="s">
        <v>12</v>
      </c>
      <c r="B19" s="208"/>
      <c r="C19" s="207" t="s">
        <v>99</v>
      </c>
      <c r="D19" s="208"/>
      <c r="E19" s="208"/>
      <c r="F19" s="207" t="s">
        <v>110</v>
      </c>
      <c r="G19" s="208"/>
      <c r="H19" s="208"/>
      <c r="I19" s="208"/>
      <c r="J19" s="208"/>
      <c r="K19" s="208"/>
      <c r="L19" s="207" t="s">
        <v>215</v>
      </c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7" t="s">
        <v>327</v>
      </c>
      <c r="AQ19" s="208"/>
      <c r="AR19" s="209">
        <v>4</v>
      </c>
      <c r="AS19" s="210"/>
      <c r="AT19" s="210"/>
      <c r="AU19" s="210"/>
      <c r="AV19" s="210"/>
      <c r="AW19" s="240"/>
      <c r="AX19" s="241"/>
      <c r="AY19" s="241"/>
      <c r="AZ19" s="241"/>
      <c r="BA19" s="241"/>
      <c r="BB19" s="241"/>
      <c r="BC19" s="241"/>
      <c r="BD19" s="241"/>
      <c r="BE19" s="209">
        <f t="shared" si="3"/>
        <v>0</v>
      </c>
      <c r="BF19" s="210"/>
      <c r="BG19" s="210"/>
      <c r="BH19" s="210"/>
      <c r="BI19" s="210"/>
      <c r="BJ19" s="210"/>
      <c r="BK19" s="210"/>
      <c r="BL19" s="210"/>
      <c r="BN19" s="135">
        <f t="shared" si="0"/>
        <v>0</v>
      </c>
      <c r="IR19" s="7">
        <f t="shared" si="1"/>
        <v>0</v>
      </c>
      <c r="IS19" s="7">
        <f t="shared" si="2"/>
        <v>0</v>
      </c>
    </row>
    <row r="20" spans="1:253" ht="12.75">
      <c r="A20" s="207" t="s">
        <v>13</v>
      </c>
      <c r="B20" s="208"/>
      <c r="C20" s="207" t="s">
        <v>99</v>
      </c>
      <c r="D20" s="208"/>
      <c r="E20" s="208"/>
      <c r="F20" s="207" t="s">
        <v>111</v>
      </c>
      <c r="G20" s="208"/>
      <c r="H20" s="208"/>
      <c r="I20" s="208"/>
      <c r="J20" s="208"/>
      <c r="K20" s="208"/>
      <c r="L20" s="207" t="s">
        <v>216</v>
      </c>
      <c r="M20" s="208"/>
      <c r="N20" s="208"/>
      <c r="O20" s="208"/>
      <c r="P20" s="208"/>
      <c r="Q20" s="208"/>
      <c r="R20" s="208"/>
      <c r="S20" s="208"/>
      <c r="T20" s="208"/>
      <c r="U20" s="208"/>
      <c r="V20" s="208"/>
      <c r="W20" s="208"/>
      <c r="X20" s="208"/>
      <c r="Y20" s="208"/>
      <c r="Z20" s="208"/>
      <c r="AA20" s="208"/>
      <c r="AB20" s="208"/>
      <c r="AC20" s="208"/>
      <c r="AD20" s="208"/>
      <c r="AE20" s="208"/>
      <c r="AF20" s="208"/>
      <c r="AG20" s="208"/>
      <c r="AH20" s="208"/>
      <c r="AI20" s="208"/>
      <c r="AJ20" s="208"/>
      <c r="AK20" s="208"/>
      <c r="AL20" s="208"/>
      <c r="AM20" s="208"/>
      <c r="AN20" s="208"/>
      <c r="AO20" s="208"/>
      <c r="AP20" s="207" t="s">
        <v>327</v>
      </c>
      <c r="AQ20" s="208"/>
      <c r="AR20" s="209">
        <v>2</v>
      </c>
      <c r="AS20" s="210"/>
      <c r="AT20" s="210"/>
      <c r="AU20" s="210"/>
      <c r="AV20" s="210"/>
      <c r="AW20" s="240"/>
      <c r="AX20" s="241"/>
      <c r="AY20" s="241"/>
      <c r="AZ20" s="241"/>
      <c r="BA20" s="241"/>
      <c r="BB20" s="241"/>
      <c r="BC20" s="241"/>
      <c r="BD20" s="241"/>
      <c r="BE20" s="209">
        <f t="shared" si="3"/>
        <v>0</v>
      </c>
      <c r="BF20" s="210"/>
      <c r="BG20" s="210"/>
      <c r="BH20" s="210"/>
      <c r="BI20" s="210"/>
      <c r="BJ20" s="210"/>
      <c r="BK20" s="210"/>
      <c r="BL20" s="210"/>
      <c r="BN20" s="135">
        <f t="shared" si="0"/>
        <v>0</v>
      </c>
      <c r="IR20" s="7">
        <f t="shared" si="1"/>
        <v>0</v>
      </c>
      <c r="IS20" s="7">
        <f t="shared" si="2"/>
        <v>0</v>
      </c>
    </row>
    <row r="21" spans="1:253" ht="12.75">
      <c r="A21" s="207" t="s">
        <v>14</v>
      </c>
      <c r="B21" s="208"/>
      <c r="C21" s="207" t="s">
        <v>99</v>
      </c>
      <c r="D21" s="208"/>
      <c r="E21" s="208"/>
      <c r="F21" s="207" t="s">
        <v>112</v>
      </c>
      <c r="G21" s="208"/>
      <c r="H21" s="208"/>
      <c r="I21" s="208"/>
      <c r="J21" s="208"/>
      <c r="K21" s="208"/>
      <c r="L21" s="207" t="s">
        <v>217</v>
      </c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7" t="s">
        <v>327</v>
      </c>
      <c r="AQ21" s="208"/>
      <c r="AR21" s="209">
        <v>1</v>
      </c>
      <c r="AS21" s="210"/>
      <c r="AT21" s="210"/>
      <c r="AU21" s="210"/>
      <c r="AV21" s="210"/>
      <c r="AW21" s="240"/>
      <c r="AX21" s="241"/>
      <c r="AY21" s="241"/>
      <c r="AZ21" s="241"/>
      <c r="BA21" s="241"/>
      <c r="BB21" s="241"/>
      <c r="BC21" s="241"/>
      <c r="BD21" s="241"/>
      <c r="BE21" s="209">
        <f t="shared" si="3"/>
        <v>0</v>
      </c>
      <c r="BF21" s="210"/>
      <c r="BG21" s="210"/>
      <c r="BH21" s="210"/>
      <c r="BI21" s="210"/>
      <c r="BJ21" s="210"/>
      <c r="BK21" s="210"/>
      <c r="BL21" s="210"/>
      <c r="BN21" s="135">
        <f t="shared" si="0"/>
        <v>0</v>
      </c>
      <c r="IR21" s="7">
        <f t="shared" si="1"/>
        <v>0</v>
      </c>
      <c r="IS21" s="7">
        <f t="shared" si="2"/>
        <v>0</v>
      </c>
    </row>
    <row r="22" spans="1:253" ht="12.75">
      <c r="A22" s="207" t="s">
        <v>15</v>
      </c>
      <c r="B22" s="208"/>
      <c r="C22" s="207" t="s">
        <v>99</v>
      </c>
      <c r="D22" s="208"/>
      <c r="E22" s="208"/>
      <c r="F22" s="207" t="s">
        <v>113</v>
      </c>
      <c r="G22" s="208"/>
      <c r="H22" s="208"/>
      <c r="I22" s="208"/>
      <c r="J22" s="208"/>
      <c r="K22" s="208"/>
      <c r="L22" s="207" t="s">
        <v>218</v>
      </c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7" t="s">
        <v>328</v>
      </c>
      <c r="AQ22" s="208"/>
      <c r="AR22" s="209">
        <v>25</v>
      </c>
      <c r="AS22" s="210"/>
      <c r="AT22" s="210"/>
      <c r="AU22" s="210"/>
      <c r="AV22" s="210"/>
      <c r="AW22" s="240"/>
      <c r="AX22" s="241"/>
      <c r="AY22" s="241"/>
      <c r="AZ22" s="241"/>
      <c r="BA22" s="241"/>
      <c r="BB22" s="241"/>
      <c r="BC22" s="241"/>
      <c r="BD22" s="241"/>
      <c r="BE22" s="209">
        <f t="shared" si="3"/>
        <v>0</v>
      </c>
      <c r="BF22" s="210"/>
      <c r="BG22" s="210"/>
      <c r="BH22" s="210"/>
      <c r="BI22" s="210"/>
      <c r="BJ22" s="210"/>
      <c r="BK22" s="210"/>
      <c r="BL22" s="210"/>
      <c r="BN22" s="135">
        <f t="shared" si="0"/>
        <v>0</v>
      </c>
      <c r="IR22" s="7">
        <f t="shared" si="1"/>
        <v>0</v>
      </c>
      <c r="IS22" s="7">
        <f t="shared" si="2"/>
        <v>0</v>
      </c>
    </row>
    <row r="23" spans="1:253" ht="12.75">
      <c r="A23" s="207" t="s">
        <v>16</v>
      </c>
      <c r="B23" s="208"/>
      <c r="C23" s="207" t="s">
        <v>99</v>
      </c>
      <c r="D23" s="208"/>
      <c r="E23" s="208"/>
      <c r="F23" s="207" t="s">
        <v>114</v>
      </c>
      <c r="G23" s="208"/>
      <c r="H23" s="208"/>
      <c r="I23" s="208"/>
      <c r="J23" s="208"/>
      <c r="K23" s="208"/>
      <c r="L23" s="207" t="s">
        <v>219</v>
      </c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7" t="s">
        <v>328</v>
      </c>
      <c r="AQ23" s="208"/>
      <c r="AR23" s="209">
        <v>15</v>
      </c>
      <c r="AS23" s="210"/>
      <c r="AT23" s="210"/>
      <c r="AU23" s="210"/>
      <c r="AV23" s="210"/>
      <c r="AW23" s="240"/>
      <c r="AX23" s="241"/>
      <c r="AY23" s="241"/>
      <c r="AZ23" s="241"/>
      <c r="BA23" s="241"/>
      <c r="BB23" s="241"/>
      <c r="BC23" s="241"/>
      <c r="BD23" s="241"/>
      <c r="BE23" s="209">
        <f t="shared" si="3"/>
        <v>0</v>
      </c>
      <c r="BF23" s="210"/>
      <c r="BG23" s="210"/>
      <c r="BH23" s="210"/>
      <c r="BI23" s="210"/>
      <c r="BJ23" s="210"/>
      <c r="BK23" s="210"/>
      <c r="BL23" s="210"/>
      <c r="BN23" s="135">
        <f t="shared" si="0"/>
        <v>0</v>
      </c>
      <c r="IR23" s="7">
        <f t="shared" si="1"/>
        <v>0</v>
      </c>
      <c r="IS23" s="7">
        <f t="shared" si="2"/>
        <v>0</v>
      </c>
    </row>
    <row r="24" spans="1:253" ht="12.75">
      <c r="A24" s="207" t="s">
        <v>17</v>
      </c>
      <c r="B24" s="208"/>
      <c r="C24" s="207" t="s">
        <v>99</v>
      </c>
      <c r="D24" s="208"/>
      <c r="E24" s="208"/>
      <c r="F24" s="207" t="s">
        <v>115</v>
      </c>
      <c r="G24" s="208"/>
      <c r="H24" s="208"/>
      <c r="I24" s="208"/>
      <c r="J24" s="208"/>
      <c r="K24" s="208"/>
      <c r="L24" s="207" t="s">
        <v>220</v>
      </c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7" t="s">
        <v>325</v>
      </c>
      <c r="AQ24" s="208"/>
      <c r="AR24" s="209">
        <v>25.25</v>
      </c>
      <c r="AS24" s="210"/>
      <c r="AT24" s="210"/>
      <c r="AU24" s="210"/>
      <c r="AV24" s="210"/>
      <c r="AW24" s="240"/>
      <c r="AX24" s="241"/>
      <c r="AY24" s="241"/>
      <c r="AZ24" s="241"/>
      <c r="BA24" s="241"/>
      <c r="BB24" s="241"/>
      <c r="BC24" s="241"/>
      <c r="BD24" s="241"/>
      <c r="BE24" s="209">
        <f t="shared" si="3"/>
        <v>0</v>
      </c>
      <c r="BF24" s="210"/>
      <c r="BG24" s="210"/>
      <c r="BH24" s="210"/>
      <c r="BI24" s="210"/>
      <c r="BJ24" s="210"/>
      <c r="BK24" s="210"/>
      <c r="BL24" s="210"/>
      <c r="BN24" s="135">
        <f t="shared" si="0"/>
        <v>0</v>
      </c>
      <c r="IR24" s="7">
        <f t="shared" si="1"/>
        <v>0</v>
      </c>
      <c r="IS24" s="7">
        <f t="shared" si="2"/>
        <v>0</v>
      </c>
    </row>
    <row r="25" spans="1:253" ht="12.75">
      <c r="A25" s="207" t="s">
        <v>18</v>
      </c>
      <c r="B25" s="208"/>
      <c r="C25" s="207" t="s">
        <v>99</v>
      </c>
      <c r="D25" s="208"/>
      <c r="E25" s="208"/>
      <c r="F25" s="207" t="s">
        <v>116</v>
      </c>
      <c r="G25" s="208"/>
      <c r="H25" s="208"/>
      <c r="I25" s="208"/>
      <c r="J25" s="208"/>
      <c r="K25" s="208"/>
      <c r="L25" s="207" t="s">
        <v>221</v>
      </c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7" t="s">
        <v>325</v>
      </c>
      <c r="AQ25" s="208"/>
      <c r="AR25" s="209">
        <v>4.73</v>
      </c>
      <c r="AS25" s="210"/>
      <c r="AT25" s="210"/>
      <c r="AU25" s="210"/>
      <c r="AV25" s="210"/>
      <c r="AW25" s="240"/>
      <c r="AX25" s="241"/>
      <c r="AY25" s="241"/>
      <c r="AZ25" s="241"/>
      <c r="BA25" s="241"/>
      <c r="BB25" s="241"/>
      <c r="BC25" s="241"/>
      <c r="BD25" s="241"/>
      <c r="BE25" s="209">
        <f t="shared" si="3"/>
        <v>0</v>
      </c>
      <c r="BF25" s="210"/>
      <c r="BG25" s="210"/>
      <c r="BH25" s="210"/>
      <c r="BI25" s="210"/>
      <c r="BJ25" s="210"/>
      <c r="BK25" s="210"/>
      <c r="BL25" s="210"/>
      <c r="BN25" s="135">
        <f t="shared" si="0"/>
        <v>0</v>
      </c>
      <c r="IR25" s="7">
        <f>AW25*0.0874383849800634</f>
        <v>0</v>
      </c>
      <c r="IS25" s="7">
        <f>AW25*(1-0.0874383849800634)</f>
        <v>0</v>
      </c>
    </row>
    <row r="26" spans="1:253" ht="12.75">
      <c r="A26" s="207" t="s">
        <v>19</v>
      </c>
      <c r="B26" s="208"/>
      <c r="C26" s="207" t="s">
        <v>99</v>
      </c>
      <c r="D26" s="208"/>
      <c r="E26" s="208"/>
      <c r="F26" s="207" t="s">
        <v>117</v>
      </c>
      <c r="G26" s="208"/>
      <c r="H26" s="208"/>
      <c r="I26" s="208"/>
      <c r="J26" s="208"/>
      <c r="K26" s="208"/>
      <c r="L26" s="207" t="s">
        <v>222</v>
      </c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7" t="s">
        <v>329</v>
      </c>
      <c r="AQ26" s="208"/>
      <c r="AR26" s="209">
        <v>4</v>
      </c>
      <c r="AS26" s="210"/>
      <c r="AT26" s="210"/>
      <c r="AU26" s="210"/>
      <c r="AV26" s="210"/>
      <c r="AW26" s="240"/>
      <c r="AX26" s="241"/>
      <c r="AY26" s="241"/>
      <c r="AZ26" s="241"/>
      <c r="BA26" s="241"/>
      <c r="BB26" s="241"/>
      <c r="BC26" s="241"/>
      <c r="BD26" s="241"/>
      <c r="BE26" s="209">
        <f t="shared" si="3"/>
        <v>0</v>
      </c>
      <c r="BF26" s="210"/>
      <c r="BG26" s="210"/>
      <c r="BH26" s="210"/>
      <c r="BI26" s="210"/>
      <c r="BJ26" s="210"/>
      <c r="BK26" s="210"/>
      <c r="BL26" s="210"/>
      <c r="BN26" s="135">
        <f t="shared" si="0"/>
        <v>0</v>
      </c>
      <c r="IR26" s="7">
        <f>AW26*0</f>
        <v>0</v>
      </c>
      <c r="IS26" s="7">
        <f>AW26*(1-0)</f>
        <v>0</v>
      </c>
    </row>
    <row r="27" spans="1:253" ht="12.75">
      <c r="A27" s="207" t="s">
        <v>20</v>
      </c>
      <c r="B27" s="208"/>
      <c r="C27" s="207" t="s">
        <v>99</v>
      </c>
      <c r="D27" s="208"/>
      <c r="E27" s="208"/>
      <c r="F27" s="207" t="s">
        <v>118</v>
      </c>
      <c r="G27" s="208"/>
      <c r="H27" s="208"/>
      <c r="I27" s="208"/>
      <c r="J27" s="208"/>
      <c r="K27" s="208"/>
      <c r="L27" s="207" t="s">
        <v>223</v>
      </c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7" t="s">
        <v>330</v>
      </c>
      <c r="AQ27" s="208"/>
      <c r="AR27" s="209">
        <v>4.18</v>
      </c>
      <c r="AS27" s="210"/>
      <c r="AT27" s="210"/>
      <c r="AU27" s="210"/>
      <c r="AV27" s="210"/>
      <c r="AW27" s="240"/>
      <c r="AX27" s="241"/>
      <c r="AY27" s="241"/>
      <c r="AZ27" s="241"/>
      <c r="BA27" s="241"/>
      <c r="BB27" s="241"/>
      <c r="BC27" s="241"/>
      <c r="BD27" s="241"/>
      <c r="BE27" s="209">
        <f t="shared" si="3"/>
        <v>0</v>
      </c>
      <c r="BF27" s="210"/>
      <c r="BG27" s="210"/>
      <c r="BH27" s="210"/>
      <c r="BI27" s="210"/>
      <c r="BJ27" s="210"/>
      <c r="BK27" s="210"/>
      <c r="BL27" s="210"/>
      <c r="BN27" s="135">
        <f t="shared" si="0"/>
        <v>0</v>
      </c>
      <c r="IR27" s="7">
        <f>AW27*0.0437553956834532</f>
        <v>0</v>
      </c>
      <c r="IS27" s="7">
        <f>AW27*(1-0.0437553956834532)</f>
        <v>0</v>
      </c>
    </row>
    <row r="28" spans="1:253" ht="12.75">
      <c r="A28" s="207" t="s">
        <v>21</v>
      </c>
      <c r="B28" s="208"/>
      <c r="C28" s="207" t="s">
        <v>99</v>
      </c>
      <c r="D28" s="208"/>
      <c r="E28" s="208"/>
      <c r="F28" s="207" t="s">
        <v>119</v>
      </c>
      <c r="G28" s="208"/>
      <c r="H28" s="208"/>
      <c r="I28" s="208"/>
      <c r="J28" s="208"/>
      <c r="K28" s="208"/>
      <c r="L28" s="207" t="s">
        <v>224</v>
      </c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7" t="s">
        <v>326</v>
      </c>
      <c r="AQ28" s="208"/>
      <c r="AR28" s="209">
        <v>4</v>
      </c>
      <c r="AS28" s="210"/>
      <c r="AT28" s="210"/>
      <c r="AU28" s="210"/>
      <c r="AV28" s="210"/>
      <c r="AW28" s="240"/>
      <c r="AX28" s="241"/>
      <c r="AY28" s="241"/>
      <c r="AZ28" s="241"/>
      <c r="BA28" s="241"/>
      <c r="BB28" s="241"/>
      <c r="BC28" s="241"/>
      <c r="BD28" s="241"/>
      <c r="BE28" s="209">
        <f t="shared" si="3"/>
        <v>0</v>
      </c>
      <c r="BF28" s="210"/>
      <c r="BG28" s="210"/>
      <c r="BH28" s="210"/>
      <c r="BI28" s="210"/>
      <c r="BJ28" s="210"/>
      <c r="BK28" s="210"/>
      <c r="BL28" s="210"/>
      <c r="BN28" s="135">
        <f t="shared" si="0"/>
        <v>0</v>
      </c>
      <c r="IR28" s="7">
        <f>AW28*0</f>
        <v>0</v>
      </c>
      <c r="IS28" s="7">
        <f>AW28*(1-0)</f>
        <v>0</v>
      </c>
    </row>
    <row r="29" spans="1:253" ht="12.75">
      <c r="A29" s="207" t="s">
        <v>22</v>
      </c>
      <c r="B29" s="208"/>
      <c r="C29" s="207" t="s">
        <v>99</v>
      </c>
      <c r="D29" s="208"/>
      <c r="E29" s="208"/>
      <c r="F29" s="207" t="s">
        <v>120</v>
      </c>
      <c r="G29" s="208"/>
      <c r="H29" s="208"/>
      <c r="I29" s="208"/>
      <c r="J29" s="208"/>
      <c r="K29" s="208"/>
      <c r="L29" s="207" t="s">
        <v>225</v>
      </c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7" t="s">
        <v>325</v>
      </c>
      <c r="AQ29" s="208"/>
      <c r="AR29" s="209">
        <v>7.66</v>
      </c>
      <c r="AS29" s="210"/>
      <c r="AT29" s="210"/>
      <c r="AU29" s="210"/>
      <c r="AV29" s="210"/>
      <c r="AW29" s="240"/>
      <c r="AX29" s="241"/>
      <c r="AY29" s="241"/>
      <c r="AZ29" s="241"/>
      <c r="BA29" s="241"/>
      <c r="BB29" s="241"/>
      <c r="BC29" s="241"/>
      <c r="BD29" s="241"/>
      <c r="BE29" s="209">
        <f t="shared" si="3"/>
        <v>0</v>
      </c>
      <c r="BF29" s="210"/>
      <c r="BG29" s="210"/>
      <c r="BH29" s="210"/>
      <c r="BI29" s="210"/>
      <c r="BJ29" s="210"/>
      <c r="BK29" s="210"/>
      <c r="BL29" s="210"/>
      <c r="BN29" s="135">
        <f t="shared" si="0"/>
        <v>0</v>
      </c>
      <c r="IR29" s="7">
        <f>AW29*0.150142180094787</f>
        <v>0</v>
      </c>
      <c r="IS29" s="7">
        <f>AW29*(1-0.150142180094787)</f>
        <v>0</v>
      </c>
    </row>
    <row r="30" spans="1:253" ht="12.75">
      <c r="A30" s="207" t="s">
        <v>23</v>
      </c>
      <c r="B30" s="208"/>
      <c r="C30" s="207" t="s">
        <v>99</v>
      </c>
      <c r="D30" s="208"/>
      <c r="E30" s="208"/>
      <c r="F30" s="207" t="s">
        <v>121</v>
      </c>
      <c r="G30" s="208"/>
      <c r="H30" s="208"/>
      <c r="I30" s="208"/>
      <c r="J30" s="208"/>
      <c r="K30" s="208"/>
      <c r="L30" s="207" t="s">
        <v>226</v>
      </c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7" t="s">
        <v>325</v>
      </c>
      <c r="AQ30" s="208"/>
      <c r="AR30" s="209">
        <v>85.51</v>
      </c>
      <c r="AS30" s="210"/>
      <c r="AT30" s="210"/>
      <c r="AU30" s="210"/>
      <c r="AV30" s="210"/>
      <c r="AW30" s="240"/>
      <c r="AX30" s="241"/>
      <c r="AY30" s="241"/>
      <c r="AZ30" s="241"/>
      <c r="BA30" s="241"/>
      <c r="BB30" s="241"/>
      <c r="BC30" s="241"/>
      <c r="BD30" s="241"/>
      <c r="BE30" s="209">
        <f t="shared" si="3"/>
        <v>0</v>
      </c>
      <c r="BF30" s="210"/>
      <c r="BG30" s="210"/>
      <c r="BH30" s="210"/>
      <c r="BI30" s="210"/>
      <c r="BJ30" s="210"/>
      <c r="BK30" s="210"/>
      <c r="BL30" s="210"/>
      <c r="BN30" s="135">
        <f t="shared" si="0"/>
        <v>0</v>
      </c>
      <c r="IR30" s="7">
        <f>AW30*0</f>
        <v>0</v>
      </c>
      <c r="IS30" s="7">
        <f>AW30*(1-0)</f>
        <v>0</v>
      </c>
    </row>
    <row r="31" spans="1:253" ht="12.75">
      <c r="A31" s="207" t="s">
        <v>24</v>
      </c>
      <c r="B31" s="208"/>
      <c r="C31" s="207" t="s">
        <v>99</v>
      </c>
      <c r="D31" s="208"/>
      <c r="E31" s="208"/>
      <c r="F31" s="207" t="s">
        <v>122</v>
      </c>
      <c r="G31" s="208"/>
      <c r="H31" s="208"/>
      <c r="I31" s="208"/>
      <c r="J31" s="208"/>
      <c r="K31" s="208"/>
      <c r="L31" s="207" t="s">
        <v>227</v>
      </c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7" t="s">
        <v>330</v>
      </c>
      <c r="AQ31" s="208"/>
      <c r="AR31" s="209">
        <v>0.25</v>
      </c>
      <c r="AS31" s="210"/>
      <c r="AT31" s="210"/>
      <c r="AU31" s="210"/>
      <c r="AV31" s="210"/>
      <c r="AW31" s="240"/>
      <c r="AX31" s="241"/>
      <c r="AY31" s="241"/>
      <c r="AZ31" s="241"/>
      <c r="BA31" s="241"/>
      <c r="BB31" s="241"/>
      <c r="BC31" s="241"/>
      <c r="BD31" s="241"/>
      <c r="BE31" s="209">
        <f t="shared" si="3"/>
        <v>0</v>
      </c>
      <c r="BF31" s="210"/>
      <c r="BG31" s="210"/>
      <c r="BH31" s="210"/>
      <c r="BI31" s="210"/>
      <c r="BJ31" s="210"/>
      <c r="BK31" s="210"/>
      <c r="BL31" s="210"/>
      <c r="BN31" s="135">
        <f t="shared" si="0"/>
        <v>0</v>
      </c>
      <c r="IR31" s="7">
        <f>AW31*0</f>
        <v>0</v>
      </c>
      <c r="IS31" s="7">
        <f>AW31*(1-0)</f>
        <v>0</v>
      </c>
    </row>
    <row r="32" spans="1:64" ht="12.75">
      <c r="A32" s="202" t="s">
        <v>6</v>
      </c>
      <c r="B32" s="203"/>
      <c r="C32" s="202" t="s">
        <v>6</v>
      </c>
      <c r="D32" s="203"/>
      <c r="E32" s="203"/>
      <c r="F32" s="202" t="s">
        <v>123</v>
      </c>
      <c r="G32" s="203"/>
      <c r="H32" s="203"/>
      <c r="I32" s="203"/>
      <c r="J32" s="203"/>
      <c r="K32" s="203"/>
      <c r="L32" s="202" t="s">
        <v>228</v>
      </c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2" t="s">
        <v>6</v>
      </c>
      <c r="AQ32" s="203"/>
      <c r="AR32" s="204" t="s">
        <v>6</v>
      </c>
      <c r="AS32" s="205"/>
      <c r="AT32" s="205"/>
      <c r="AU32" s="205"/>
      <c r="AV32" s="205"/>
      <c r="AW32" s="204" t="s">
        <v>6</v>
      </c>
      <c r="AX32" s="205"/>
      <c r="AY32" s="205"/>
      <c r="AZ32" s="205"/>
      <c r="BA32" s="205"/>
      <c r="BB32" s="205"/>
      <c r="BC32" s="205"/>
      <c r="BD32" s="205"/>
      <c r="BE32" s="206">
        <f>SUM(BE33:BL38)</f>
        <v>0</v>
      </c>
      <c r="BF32" s="205"/>
      <c r="BG32" s="205"/>
      <c r="BH32" s="205"/>
      <c r="BI32" s="205"/>
      <c r="BJ32" s="205"/>
      <c r="BK32" s="205"/>
      <c r="BL32" s="205"/>
    </row>
    <row r="33" spans="1:253" ht="12.75">
      <c r="A33" s="207" t="s">
        <v>25</v>
      </c>
      <c r="B33" s="208"/>
      <c r="C33" s="207" t="s">
        <v>99</v>
      </c>
      <c r="D33" s="208"/>
      <c r="E33" s="208"/>
      <c r="F33" s="207" t="s">
        <v>124</v>
      </c>
      <c r="G33" s="208"/>
      <c r="H33" s="208"/>
      <c r="I33" s="208"/>
      <c r="J33" s="208"/>
      <c r="K33" s="208"/>
      <c r="L33" s="207" t="s">
        <v>229</v>
      </c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7" t="s">
        <v>331</v>
      </c>
      <c r="AQ33" s="208"/>
      <c r="AR33" s="209">
        <v>16.49</v>
      </c>
      <c r="AS33" s="210"/>
      <c r="AT33" s="210"/>
      <c r="AU33" s="210"/>
      <c r="AV33" s="210"/>
      <c r="AW33" s="240"/>
      <c r="AX33" s="241"/>
      <c r="AY33" s="241"/>
      <c r="AZ33" s="241"/>
      <c r="BA33" s="241"/>
      <c r="BB33" s="241"/>
      <c r="BC33" s="241"/>
      <c r="BD33" s="241"/>
      <c r="BE33" s="209">
        <f aca="true" t="shared" si="4" ref="BE33:BE38">AR33*AW33</f>
        <v>0</v>
      </c>
      <c r="BF33" s="210"/>
      <c r="BG33" s="210"/>
      <c r="BH33" s="210"/>
      <c r="BI33" s="210"/>
      <c r="BJ33" s="210"/>
      <c r="BK33" s="210"/>
      <c r="BL33" s="210"/>
      <c r="BN33" s="135">
        <f t="shared" si="0"/>
        <v>0</v>
      </c>
      <c r="IR33" s="7">
        <f>AW33*0.0760505284867234</f>
        <v>0</v>
      </c>
      <c r="IS33" s="7">
        <f>AW33*(1-0.0760505284867234)</f>
        <v>0</v>
      </c>
    </row>
    <row r="34" spans="1:253" ht="12.75">
      <c r="A34" s="207" t="s">
        <v>26</v>
      </c>
      <c r="B34" s="208"/>
      <c r="C34" s="207" t="s">
        <v>99</v>
      </c>
      <c r="D34" s="208"/>
      <c r="E34" s="208"/>
      <c r="F34" s="207" t="s">
        <v>125</v>
      </c>
      <c r="G34" s="208"/>
      <c r="H34" s="208"/>
      <c r="I34" s="208"/>
      <c r="J34" s="208"/>
      <c r="K34" s="208"/>
      <c r="L34" s="207" t="s">
        <v>230</v>
      </c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7" t="s">
        <v>331</v>
      </c>
      <c r="AQ34" s="208"/>
      <c r="AR34" s="209">
        <v>16.49</v>
      </c>
      <c r="AS34" s="210"/>
      <c r="AT34" s="210"/>
      <c r="AU34" s="210"/>
      <c r="AV34" s="210"/>
      <c r="AW34" s="240"/>
      <c r="AX34" s="241"/>
      <c r="AY34" s="241"/>
      <c r="AZ34" s="241"/>
      <c r="BA34" s="241"/>
      <c r="BB34" s="241"/>
      <c r="BC34" s="241"/>
      <c r="BD34" s="241"/>
      <c r="BE34" s="209">
        <f t="shared" si="4"/>
        <v>0</v>
      </c>
      <c r="BF34" s="210"/>
      <c r="BG34" s="210"/>
      <c r="BH34" s="210"/>
      <c r="BI34" s="210"/>
      <c r="BJ34" s="210"/>
      <c r="BK34" s="210"/>
      <c r="BL34" s="210"/>
      <c r="BN34" s="135">
        <f t="shared" si="0"/>
        <v>0</v>
      </c>
      <c r="IR34" s="7">
        <f>AW34*0</f>
        <v>0</v>
      </c>
      <c r="IS34" s="7">
        <f>AW34*(1-0)</f>
        <v>0</v>
      </c>
    </row>
    <row r="35" spans="1:253" ht="12.75">
      <c r="A35" s="207" t="s">
        <v>27</v>
      </c>
      <c r="B35" s="208"/>
      <c r="C35" s="207" t="s">
        <v>99</v>
      </c>
      <c r="D35" s="208"/>
      <c r="E35" s="208"/>
      <c r="F35" s="207" t="s">
        <v>126</v>
      </c>
      <c r="G35" s="208"/>
      <c r="H35" s="208"/>
      <c r="I35" s="208"/>
      <c r="J35" s="208"/>
      <c r="K35" s="208"/>
      <c r="L35" s="207" t="s">
        <v>231</v>
      </c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7" t="s">
        <v>331</v>
      </c>
      <c r="AQ35" s="208"/>
      <c r="AR35" s="209">
        <v>16.49</v>
      </c>
      <c r="AS35" s="210"/>
      <c r="AT35" s="210"/>
      <c r="AU35" s="210"/>
      <c r="AV35" s="210"/>
      <c r="AW35" s="240"/>
      <c r="AX35" s="241"/>
      <c r="AY35" s="241"/>
      <c r="AZ35" s="241"/>
      <c r="BA35" s="241"/>
      <c r="BB35" s="241"/>
      <c r="BC35" s="241"/>
      <c r="BD35" s="241"/>
      <c r="BE35" s="209">
        <f t="shared" si="4"/>
        <v>0</v>
      </c>
      <c r="BF35" s="210"/>
      <c r="BG35" s="210"/>
      <c r="BH35" s="210"/>
      <c r="BI35" s="210"/>
      <c r="BJ35" s="210"/>
      <c r="BK35" s="210"/>
      <c r="BL35" s="210"/>
      <c r="BN35" s="135">
        <f t="shared" si="0"/>
        <v>0</v>
      </c>
      <c r="IR35" s="7">
        <f>AW35*0</f>
        <v>0</v>
      </c>
      <c r="IS35" s="7">
        <f>AW35*(1-0)</f>
        <v>0</v>
      </c>
    </row>
    <row r="36" spans="1:253" ht="12.75">
      <c r="A36" s="207" t="s">
        <v>28</v>
      </c>
      <c r="B36" s="208"/>
      <c r="C36" s="207" t="s">
        <v>99</v>
      </c>
      <c r="D36" s="208"/>
      <c r="E36" s="208"/>
      <c r="F36" s="207" t="s">
        <v>127</v>
      </c>
      <c r="G36" s="208"/>
      <c r="H36" s="208"/>
      <c r="I36" s="208"/>
      <c r="J36" s="208"/>
      <c r="K36" s="208"/>
      <c r="L36" s="207" t="s">
        <v>232</v>
      </c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7" t="s">
        <v>331</v>
      </c>
      <c r="AQ36" s="208"/>
      <c r="AR36" s="209">
        <v>16.49</v>
      </c>
      <c r="AS36" s="210"/>
      <c r="AT36" s="210"/>
      <c r="AU36" s="210"/>
      <c r="AV36" s="210"/>
      <c r="AW36" s="240"/>
      <c r="AX36" s="241"/>
      <c r="AY36" s="241"/>
      <c r="AZ36" s="241"/>
      <c r="BA36" s="241"/>
      <c r="BB36" s="241"/>
      <c r="BC36" s="241"/>
      <c r="BD36" s="241"/>
      <c r="BE36" s="209">
        <f t="shared" si="4"/>
        <v>0</v>
      </c>
      <c r="BF36" s="210"/>
      <c r="BG36" s="210"/>
      <c r="BH36" s="210"/>
      <c r="BI36" s="210"/>
      <c r="BJ36" s="210"/>
      <c r="BK36" s="210"/>
      <c r="BL36" s="210"/>
      <c r="BN36" s="135">
        <f t="shared" si="0"/>
        <v>0</v>
      </c>
      <c r="IR36" s="7">
        <f>AW36*0</f>
        <v>0</v>
      </c>
      <c r="IS36" s="7">
        <f>AW36*(1-0)</f>
        <v>0</v>
      </c>
    </row>
    <row r="37" spans="1:253" ht="12.75">
      <c r="A37" s="207" t="s">
        <v>29</v>
      </c>
      <c r="B37" s="208"/>
      <c r="C37" s="207" t="s">
        <v>99</v>
      </c>
      <c r="D37" s="208"/>
      <c r="E37" s="208"/>
      <c r="F37" s="207" t="s">
        <v>128</v>
      </c>
      <c r="G37" s="208"/>
      <c r="H37" s="208"/>
      <c r="I37" s="208"/>
      <c r="J37" s="208"/>
      <c r="K37" s="208"/>
      <c r="L37" s="207" t="s">
        <v>233</v>
      </c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7" t="s">
        <v>331</v>
      </c>
      <c r="AQ37" s="208"/>
      <c r="AR37" s="209">
        <v>313.31</v>
      </c>
      <c r="AS37" s="210"/>
      <c r="AT37" s="210"/>
      <c r="AU37" s="210"/>
      <c r="AV37" s="210"/>
      <c r="AW37" s="240"/>
      <c r="AX37" s="241"/>
      <c r="AY37" s="241"/>
      <c r="AZ37" s="241"/>
      <c r="BA37" s="241"/>
      <c r="BB37" s="241"/>
      <c r="BC37" s="241"/>
      <c r="BD37" s="241"/>
      <c r="BE37" s="209">
        <f t="shared" si="4"/>
        <v>0</v>
      </c>
      <c r="BF37" s="210"/>
      <c r="BG37" s="210"/>
      <c r="BH37" s="210"/>
      <c r="BI37" s="210"/>
      <c r="BJ37" s="210"/>
      <c r="BK37" s="210"/>
      <c r="BL37" s="210"/>
      <c r="BN37" s="135">
        <f t="shared" si="0"/>
        <v>0</v>
      </c>
      <c r="IR37" s="7">
        <f>AW37*0</f>
        <v>0</v>
      </c>
      <c r="IS37" s="7">
        <f>AW37*(1-0)</f>
        <v>0</v>
      </c>
    </row>
    <row r="38" spans="1:253" ht="12.75">
      <c r="A38" s="207" t="s">
        <v>30</v>
      </c>
      <c r="B38" s="208"/>
      <c r="C38" s="207" t="s">
        <v>99</v>
      </c>
      <c r="D38" s="208"/>
      <c r="E38" s="208"/>
      <c r="F38" s="207" t="s">
        <v>129</v>
      </c>
      <c r="G38" s="208"/>
      <c r="H38" s="208"/>
      <c r="I38" s="208"/>
      <c r="J38" s="208"/>
      <c r="K38" s="208"/>
      <c r="L38" s="207" t="s">
        <v>234</v>
      </c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7" t="s">
        <v>331</v>
      </c>
      <c r="AQ38" s="208"/>
      <c r="AR38" s="209">
        <v>16.49</v>
      </c>
      <c r="AS38" s="210"/>
      <c r="AT38" s="210"/>
      <c r="AU38" s="210"/>
      <c r="AV38" s="210"/>
      <c r="AW38" s="240"/>
      <c r="AX38" s="241"/>
      <c r="AY38" s="241"/>
      <c r="AZ38" s="241"/>
      <c r="BA38" s="241"/>
      <c r="BB38" s="241"/>
      <c r="BC38" s="241"/>
      <c r="BD38" s="241"/>
      <c r="BE38" s="209">
        <f t="shared" si="4"/>
        <v>0</v>
      </c>
      <c r="BF38" s="210"/>
      <c r="BG38" s="210"/>
      <c r="BH38" s="210"/>
      <c r="BI38" s="210"/>
      <c r="BJ38" s="210"/>
      <c r="BK38" s="210"/>
      <c r="BL38" s="210"/>
      <c r="BN38" s="135">
        <f t="shared" si="0"/>
        <v>0</v>
      </c>
      <c r="IR38" s="7">
        <f>AW38*0</f>
        <v>0</v>
      </c>
      <c r="IS38" s="7">
        <f>AW38*(1-0)</f>
        <v>0</v>
      </c>
    </row>
    <row r="40" spans="49:66" ht="12.75">
      <c r="AW40" s="211" t="s">
        <v>339</v>
      </c>
      <c r="AX40" s="155"/>
      <c r="AY40" s="155"/>
      <c r="AZ40" s="155"/>
      <c r="BA40" s="155"/>
      <c r="BB40" s="155"/>
      <c r="BC40" s="155"/>
      <c r="BD40" s="155"/>
      <c r="BE40" s="212">
        <f>BE32+BE14+BE12</f>
        <v>0</v>
      </c>
      <c r="BF40" s="213"/>
      <c r="BG40" s="213"/>
      <c r="BH40" s="213"/>
      <c r="BI40" s="213"/>
      <c r="BJ40" s="213"/>
      <c r="BK40" s="213"/>
      <c r="BL40" s="213"/>
      <c r="BN40" s="135">
        <f>SUM(BN13:BN38)</f>
        <v>0</v>
      </c>
    </row>
  </sheetData>
  <sheetProtection sheet="1"/>
  <mergeCells count="259">
    <mergeCell ref="AW40:BD40"/>
    <mergeCell ref="BE40:BL40"/>
    <mergeCell ref="AW38:BD38"/>
    <mergeCell ref="BE38:BL38"/>
    <mergeCell ref="A38:B38"/>
    <mergeCell ref="C38:E38"/>
    <mergeCell ref="F38:K38"/>
    <mergeCell ref="L38:AO38"/>
    <mergeCell ref="AP38:AQ38"/>
    <mergeCell ref="AR38:AV38"/>
    <mergeCell ref="AW36:BD36"/>
    <mergeCell ref="BE36:BL36"/>
    <mergeCell ref="A37:B37"/>
    <mergeCell ref="C37:E37"/>
    <mergeCell ref="F37:K37"/>
    <mergeCell ref="L37:AO37"/>
    <mergeCell ref="AP37:AQ37"/>
    <mergeCell ref="AR37:AV37"/>
    <mergeCell ref="AW37:BD37"/>
    <mergeCell ref="BE37:BL37"/>
    <mergeCell ref="A36:B36"/>
    <mergeCell ref="C36:E36"/>
    <mergeCell ref="F36:K36"/>
    <mergeCell ref="L36:AO36"/>
    <mergeCell ref="AP36:AQ36"/>
    <mergeCell ref="AR36:AV36"/>
    <mergeCell ref="AW34:BD34"/>
    <mergeCell ref="BE34:BL34"/>
    <mergeCell ref="A35:B35"/>
    <mergeCell ref="C35:E35"/>
    <mergeCell ref="F35:K35"/>
    <mergeCell ref="L35:AO35"/>
    <mergeCell ref="AP35:AQ35"/>
    <mergeCell ref="AR35:AV35"/>
    <mergeCell ref="AW35:BD35"/>
    <mergeCell ref="BE35:BL35"/>
    <mergeCell ref="A34:B34"/>
    <mergeCell ref="C34:E34"/>
    <mergeCell ref="F34:K34"/>
    <mergeCell ref="L34:AO34"/>
    <mergeCell ref="AP34:AQ34"/>
    <mergeCell ref="AR34:AV34"/>
    <mergeCell ref="AW32:BD32"/>
    <mergeCell ref="BE32:BL32"/>
    <mergeCell ref="A33:B33"/>
    <mergeCell ref="C33:E33"/>
    <mergeCell ref="F33:K33"/>
    <mergeCell ref="L33:AO33"/>
    <mergeCell ref="AP33:AQ33"/>
    <mergeCell ref="AR33:AV33"/>
    <mergeCell ref="AW33:BD33"/>
    <mergeCell ref="BE33:BL33"/>
    <mergeCell ref="A32:B32"/>
    <mergeCell ref="C32:E32"/>
    <mergeCell ref="F32:K32"/>
    <mergeCell ref="L32:AO32"/>
    <mergeCell ref="AP32:AQ32"/>
    <mergeCell ref="AR32:AV32"/>
    <mergeCell ref="AW30:BD30"/>
    <mergeCell ref="BE30:BL30"/>
    <mergeCell ref="A31:B31"/>
    <mergeCell ref="C31:E31"/>
    <mergeCell ref="F31:K31"/>
    <mergeCell ref="L31:AO31"/>
    <mergeCell ref="AP31:AQ31"/>
    <mergeCell ref="AR31:AV31"/>
    <mergeCell ref="AW31:BD31"/>
    <mergeCell ref="BE31:BL31"/>
    <mergeCell ref="A30:B30"/>
    <mergeCell ref="C30:E30"/>
    <mergeCell ref="F30:K30"/>
    <mergeCell ref="L30:AO30"/>
    <mergeCell ref="AP30:AQ30"/>
    <mergeCell ref="AR30:AV30"/>
    <mergeCell ref="AW28:BD28"/>
    <mergeCell ref="BE28:BL28"/>
    <mergeCell ref="A29:B29"/>
    <mergeCell ref="C29:E29"/>
    <mergeCell ref="F29:K29"/>
    <mergeCell ref="L29:AO29"/>
    <mergeCell ref="AP29:AQ29"/>
    <mergeCell ref="AR29:AV29"/>
    <mergeCell ref="AW29:BD29"/>
    <mergeCell ref="BE29:BL29"/>
    <mergeCell ref="A28:B28"/>
    <mergeCell ref="C28:E28"/>
    <mergeCell ref="F28:K28"/>
    <mergeCell ref="L28:AO28"/>
    <mergeCell ref="AP28:AQ28"/>
    <mergeCell ref="AR28:AV28"/>
    <mergeCell ref="AW26:BD26"/>
    <mergeCell ref="BE26:BL26"/>
    <mergeCell ref="A27:B27"/>
    <mergeCell ref="C27:E27"/>
    <mergeCell ref="F27:K27"/>
    <mergeCell ref="L27:AO27"/>
    <mergeCell ref="AP27:AQ27"/>
    <mergeCell ref="AR27:AV27"/>
    <mergeCell ref="AW27:BD27"/>
    <mergeCell ref="BE27:BL27"/>
    <mergeCell ref="A26:B26"/>
    <mergeCell ref="C26:E26"/>
    <mergeCell ref="F26:K26"/>
    <mergeCell ref="L26:AO26"/>
    <mergeCell ref="AP26:AQ26"/>
    <mergeCell ref="AR26:AV26"/>
    <mergeCell ref="AW24:BD24"/>
    <mergeCell ref="BE24:BL24"/>
    <mergeCell ref="A25:B25"/>
    <mergeCell ref="C25:E25"/>
    <mergeCell ref="F25:K25"/>
    <mergeCell ref="L25:AO25"/>
    <mergeCell ref="AP25:AQ25"/>
    <mergeCell ref="AR25:AV25"/>
    <mergeCell ref="AW25:BD25"/>
    <mergeCell ref="BE25:BL25"/>
    <mergeCell ref="A24:B24"/>
    <mergeCell ref="C24:E24"/>
    <mergeCell ref="F24:K24"/>
    <mergeCell ref="L24:AO24"/>
    <mergeCell ref="AP24:AQ24"/>
    <mergeCell ref="AR24:AV24"/>
    <mergeCell ref="AW22:BD22"/>
    <mergeCell ref="BE22:BL22"/>
    <mergeCell ref="A23:B23"/>
    <mergeCell ref="C23:E23"/>
    <mergeCell ref="F23:K23"/>
    <mergeCell ref="L23:AO23"/>
    <mergeCell ref="AP23:AQ23"/>
    <mergeCell ref="AR23:AV23"/>
    <mergeCell ref="AW23:BD23"/>
    <mergeCell ref="BE23:BL23"/>
    <mergeCell ref="A22:B22"/>
    <mergeCell ref="C22:E22"/>
    <mergeCell ref="F22:K22"/>
    <mergeCell ref="L22:AO22"/>
    <mergeCell ref="AP22:AQ22"/>
    <mergeCell ref="AR22:AV22"/>
    <mergeCell ref="AW20:BD20"/>
    <mergeCell ref="BE20:BL20"/>
    <mergeCell ref="A21:B21"/>
    <mergeCell ref="C21:E21"/>
    <mergeCell ref="F21:K21"/>
    <mergeCell ref="L21:AO21"/>
    <mergeCell ref="AP21:AQ21"/>
    <mergeCell ref="AR21:AV21"/>
    <mergeCell ref="AW21:BD21"/>
    <mergeCell ref="BE21:BL21"/>
    <mergeCell ref="A20:B20"/>
    <mergeCell ref="C20:E20"/>
    <mergeCell ref="F20:K20"/>
    <mergeCell ref="L20:AO20"/>
    <mergeCell ref="AP20:AQ20"/>
    <mergeCell ref="AR20:AV20"/>
    <mergeCell ref="AW18:BD18"/>
    <mergeCell ref="BE18:BL18"/>
    <mergeCell ref="A19:B19"/>
    <mergeCell ref="C19:E19"/>
    <mergeCell ref="F19:K19"/>
    <mergeCell ref="L19:AO19"/>
    <mergeCell ref="AP19:AQ19"/>
    <mergeCell ref="AR19:AV19"/>
    <mergeCell ref="AW19:BD19"/>
    <mergeCell ref="BE19:BL19"/>
    <mergeCell ref="A18:B18"/>
    <mergeCell ref="C18:E18"/>
    <mergeCell ref="F18:K18"/>
    <mergeCell ref="L18:AO18"/>
    <mergeCell ref="AP18:AQ18"/>
    <mergeCell ref="AR18:AV18"/>
    <mergeCell ref="AW16:BD16"/>
    <mergeCell ref="BE16:BL16"/>
    <mergeCell ref="A17:B17"/>
    <mergeCell ref="C17:E17"/>
    <mergeCell ref="F17:K17"/>
    <mergeCell ref="L17:AO17"/>
    <mergeCell ref="AP17:AQ17"/>
    <mergeCell ref="AR17:AV17"/>
    <mergeCell ref="AW17:BD17"/>
    <mergeCell ref="BE17:BL17"/>
    <mergeCell ref="A16:B16"/>
    <mergeCell ref="C16:E16"/>
    <mergeCell ref="F16:K16"/>
    <mergeCell ref="L16:AO16"/>
    <mergeCell ref="AP16:AQ16"/>
    <mergeCell ref="AR16:AV16"/>
    <mergeCell ref="AW14:BD14"/>
    <mergeCell ref="BE14:BL14"/>
    <mergeCell ref="A15:B15"/>
    <mergeCell ref="C15:E15"/>
    <mergeCell ref="F15:K15"/>
    <mergeCell ref="L15:AO15"/>
    <mergeCell ref="AP15:AQ15"/>
    <mergeCell ref="AR15:AV15"/>
    <mergeCell ref="AW15:BD15"/>
    <mergeCell ref="BE15:BL15"/>
    <mergeCell ref="A14:B14"/>
    <mergeCell ref="C14:E14"/>
    <mergeCell ref="F14:K14"/>
    <mergeCell ref="L14:AO14"/>
    <mergeCell ref="AP14:AQ14"/>
    <mergeCell ref="AR14:AV14"/>
    <mergeCell ref="AW12:BD12"/>
    <mergeCell ref="BE12:BL12"/>
    <mergeCell ref="A13:B13"/>
    <mergeCell ref="C13:E13"/>
    <mergeCell ref="F13:K13"/>
    <mergeCell ref="L13:AO13"/>
    <mergeCell ref="AP13:AQ13"/>
    <mergeCell ref="AR13:AV13"/>
    <mergeCell ref="AW13:BD13"/>
    <mergeCell ref="BE13:BL13"/>
    <mergeCell ref="A12:B12"/>
    <mergeCell ref="C12:E12"/>
    <mergeCell ref="F12:K12"/>
    <mergeCell ref="L12:AO12"/>
    <mergeCell ref="AP12:AQ12"/>
    <mergeCell ref="AR12:AV12"/>
    <mergeCell ref="AW10:BD10"/>
    <mergeCell ref="BE10:BL10"/>
    <mergeCell ref="A11:B11"/>
    <mergeCell ref="C11:E11"/>
    <mergeCell ref="F11:K11"/>
    <mergeCell ref="L11:AO11"/>
    <mergeCell ref="AP11:AQ11"/>
    <mergeCell ref="AR11:AV11"/>
    <mergeCell ref="AW11:BD11"/>
    <mergeCell ref="BE11:BL11"/>
    <mergeCell ref="A10:B10"/>
    <mergeCell ref="C10:E10"/>
    <mergeCell ref="F10:K10"/>
    <mergeCell ref="L10:AO10"/>
    <mergeCell ref="AP10:AQ10"/>
    <mergeCell ref="AR10:AV10"/>
    <mergeCell ref="A8:E9"/>
    <mergeCell ref="F8:AI9"/>
    <mergeCell ref="AJ8:AP9"/>
    <mergeCell ref="AQ8:AV9"/>
    <mergeCell ref="AW8:BC9"/>
    <mergeCell ref="BD8:BL9"/>
    <mergeCell ref="A6:E7"/>
    <mergeCell ref="F6:AI7"/>
    <mergeCell ref="AJ6:AP7"/>
    <mergeCell ref="AQ6:AV7"/>
    <mergeCell ref="AW6:BC7"/>
    <mergeCell ref="BD6:BL7"/>
    <mergeCell ref="A4:E5"/>
    <mergeCell ref="F4:AI5"/>
    <mergeCell ref="AJ4:AP5"/>
    <mergeCell ref="AQ4:AV5"/>
    <mergeCell ref="AW4:BC5"/>
    <mergeCell ref="BD4:BL5"/>
    <mergeCell ref="A1:BL1"/>
    <mergeCell ref="A2:E3"/>
    <mergeCell ref="F2:AI3"/>
    <mergeCell ref="AJ2:AP3"/>
    <mergeCell ref="AQ2:AV3"/>
    <mergeCell ref="AW2:BC3"/>
    <mergeCell ref="BD2:BL3"/>
  </mergeCells>
  <printOptions/>
  <pageMargins left="0.394" right="0.394" top="0.591" bottom="0.591" header="0.5" footer="0.5"/>
  <pageSetup fitToHeight="0" fitToWidth="1"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5"/>
  <sheetViews>
    <sheetView zoomScale="90" zoomScaleNormal="90" zoomScaleSheetLayoutView="100" zoomScalePageLayoutView="0" workbookViewId="0" topLeftCell="A1">
      <pane ySplit="10" topLeftCell="A11" activePane="bottomLeft" state="frozen"/>
      <selection pane="topLeft" activeCell="B38" sqref="B38"/>
      <selection pane="bottomLeft" activeCell="BM23" sqref="BM23"/>
    </sheetView>
  </sheetViews>
  <sheetFormatPr defaultColWidth="11.57421875" defaultRowHeight="12.75"/>
  <cols>
    <col min="1" max="64" width="2.8515625" style="0" customWidth="1"/>
    <col min="65" max="65" width="11.57421875" style="0" customWidth="1"/>
    <col min="66" max="66" width="11.57421875" style="135" hidden="1" customWidth="1"/>
    <col min="67" max="250" width="11.57421875" style="0" customWidth="1"/>
    <col min="251" max="254" width="12.140625" style="0" hidden="1" customWidth="1"/>
  </cols>
  <sheetData>
    <row r="1" spans="1:64" ht="28.5" customHeight="1">
      <c r="A1" s="189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</row>
    <row r="2" spans="1:65" ht="12.75">
      <c r="A2" s="149" t="s">
        <v>1</v>
      </c>
      <c r="B2" s="150"/>
      <c r="C2" s="150"/>
      <c r="D2" s="150"/>
      <c r="E2" s="150"/>
      <c r="F2" s="153" t="str">
        <f>'Stavební rozpočet'!D2</f>
        <v>Stavební úpravy soc.zařízení ZŠ Želízy</v>
      </c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90" t="s">
        <v>320</v>
      </c>
      <c r="AK2" s="150"/>
      <c r="AL2" s="150"/>
      <c r="AM2" s="150"/>
      <c r="AN2" s="150"/>
      <c r="AO2" s="150"/>
      <c r="AP2" s="150"/>
      <c r="AQ2" s="156" t="str">
        <f>'Stavební rozpočet'!G2</f>
        <v> </v>
      </c>
      <c r="AR2" s="150"/>
      <c r="AS2" s="150"/>
      <c r="AT2" s="150"/>
      <c r="AU2" s="150"/>
      <c r="AV2" s="150"/>
      <c r="AW2" s="156" t="s">
        <v>334</v>
      </c>
      <c r="AX2" s="150"/>
      <c r="AY2" s="150"/>
      <c r="AZ2" s="150"/>
      <c r="BA2" s="150"/>
      <c r="BB2" s="150"/>
      <c r="BC2" s="150"/>
      <c r="BD2" s="156" t="str">
        <f>VORN!F2</f>
        <v>Obec Želízy, č.p. 46, 277 21 Želízy</v>
      </c>
      <c r="BE2" s="150"/>
      <c r="BF2" s="150"/>
      <c r="BG2" s="150"/>
      <c r="BH2" s="150"/>
      <c r="BI2" s="150"/>
      <c r="BJ2" s="150"/>
      <c r="BK2" s="150"/>
      <c r="BL2" s="191"/>
      <c r="BM2" s="5"/>
    </row>
    <row r="3" spans="1:65" ht="12.75">
      <c r="A3" s="151"/>
      <c r="B3" s="152"/>
      <c r="C3" s="152"/>
      <c r="D3" s="152"/>
      <c r="E3" s="152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9"/>
      <c r="BM3" s="5"/>
    </row>
    <row r="4" spans="1:65" ht="12.75">
      <c r="A4" s="160" t="s">
        <v>2</v>
      </c>
      <c r="B4" s="152"/>
      <c r="C4" s="152"/>
      <c r="D4" s="152"/>
      <c r="E4" s="152"/>
      <c r="F4" s="161" t="str">
        <f>'Stavební rozpočet'!D4</f>
        <v> 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64" t="s">
        <v>321</v>
      </c>
      <c r="AK4" s="152"/>
      <c r="AL4" s="152"/>
      <c r="AM4" s="152"/>
      <c r="AN4" s="152"/>
      <c r="AO4" s="152"/>
      <c r="AP4" s="152"/>
      <c r="AQ4" s="161"/>
      <c r="AR4" s="152"/>
      <c r="AS4" s="152"/>
      <c r="AT4" s="152"/>
      <c r="AU4" s="152"/>
      <c r="AV4" s="152"/>
      <c r="AW4" s="161" t="s">
        <v>335</v>
      </c>
      <c r="AX4" s="152"/>
      <c r="AY4" s="152"/>
      <c r="AZ4" s="152"/>
      <c r="BA4" s="152"/>
      <c r="BB4" s="152"/>
      <c r="BC4" s="152"/>
      <c r="BD4" s="161" t="str">
        <f>VORN!F4</f>
        <v>PMM projekt s.r.o., Pražská 3939, 276 01 Mělník</v>
      </c>
      <c r="BE4" s="152"/>
      <c r="BF4" s="152"/>
      <c r="BG4" s="152"/>
      <c r="BH4" s="152"/>
      <c r="BI4" s="152"/>
      <c r="BJ4" s="152"/>
      <c r="BK4" s="152"/>
      <c r="BL4" s="159"/>
      <c r="BM4" s="5"/>
    </row>
    <row r="5" spans="1:65" ht="12.7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9"/>
      <c r="BM5" s="5"/>
    </row>
    <row r="6" spans="1:65" ht="12.75">
      <c r="A6" s="160" t="s">
        <v>3</v>
      </c>
      <c r="B6" s="152"/>
      <c r="C6" s="152"/>
      <c r="D6" s="152"/>
      <c r="E6" s="152"/>
      <c r="F6" s="161" t="str">
        <f>'Stavební rozpočet'!D6</f>
        <v>č.parc.st. 77, Želízy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64" t="s">
        <v>322</v>
      </c>
      <c r="AK6" s="152"/>
      <c r="AL6" s="152"/>
      <c r="AM6" s="152"/>
      <c r="AN6" s="152"/>
      <c r="AO6" s="152"/>
      <c r="AP6" s="152"/>
      <c r="AQ6" s="161" t="str">
        <f>'Stavební rozpočet'!G6</f>
        <v> </v>
      </c>
      <c r="AR6" s="152"/>
      <c r="AS6" s="152"/>
      <c r="AT6" s="152"/>
      <c r="AU6" s="152"/>
      <c r="AV6" s="152"/>
      <c r="AW6" s="161" t="s">
        <v>336</v>
      </c>
      <c r="AX6" s="152"/>
      <c r="AY6" s="152"/>
      <c r="AZ6" s="152"/>
      <c r="BA6" s="152"/>
      <c r="BB6" s="152"/>
      <c r="BC6" s="152"/>
      <c r="BD6" s="161" t="str">
        <f>'Stavební rozpočet'!J6</f>
        <v> </v>
      </c>
      <c r="BE6" s="152"/>
      <c r="BF6" s="152"/>
      <c r="BG6" s="152"/>
      <c r="BH6" s="152"/>
      <c r="BI6" s="152"/>
      <c r="BJ6" s="152"/>
      <c r="BK6" s="152"/>
      <c r="BL6" s="159"/>
      <c r="BM6" s="5"/>
    </row>
    <row r="7" spans="1:65" ht="12.75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9"/>
      <c r="BM7" s="5"/>
    </row>
    <row r="8" spans="1:65" ht="12.75">
      <c r="A8" s="160" t="s">
        <v>4</v>
      </c>
      <c r="B8" s="152"/>
      <c r="C8" s="152"/>
      <c r="D8" s="152"/>
      <c r="E8" s="152"/>
      <c r="F8" s="161" t="str">
        <f>'Stavební rozpočet'!D8</f>
        <v> </v>
      </c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64" t="s">
        <v>323</v>
      </c>
      <c r="AK8" s="152"/>
      <c r="AL8" s="152"/>
      <c r="AM8" s="152"/>
      <c r="AN8" s="152"/>
      <c r="AO8" s="152"/>
      <c r="AP8" s="152"/>
      <c r="AQ8" s="192">
        <v>43977</v>
      </c>
      <c r="AR8" s="152"/>
      <c r="AS8" s="152"/>
      <c r="AT8" s="152"/>
      <c r="AU8" s="152"/>
      <c r="AV8" s="152"/>
      <c r="AW8" s="161" t="s">
        <v>337</v>
      </c>
      <c r="AX8" s="152"/>
      <c r="AY8" s="152"/>
      <c r="AZ8" s="152"/>
      <c r="BA8" s="152"/>
      <c r="BB8" s="152"/>
      <c r="BC8" s="152"/>
      <c r="BD8" s="161" t="str">
        <f>BD4</f>
        <v>PMM projekt s.r.o., Pražská 3939, 276 01 Mělník</v>
      </c>
      <c r="BE8" s="152"/>
      <c r="BF8" s="152"/>
      <c r="BG8" s="152"/>
      <c r="BH8" s="152"/>
      <c r="BI8" s="152"/>
      <c r="BJ8" s="152"/>
      <c r="BK8" s="152"/>
      <c r="BL8" s="159"/>
      <c r="BM8" s="5"/>
    </row>
    <row r="9" spans="1:65" ht="12.75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8"/>
      <c r="BM9" s="5"/>
    </row>
    <row r="10" spans="1:65" ht="13.5" thickBot="1">
      <c r="A10" s="193" t="s">
        <v>5</v>
      </c>
      <c r="B10" s="194"/>
      <c r="C10" s="193" t="s">
        <v>98</v>
      </c>
      <c r="D10" s="195"/>
      <c r="E10" s="194"/>
      <c r="F10" s="193" t="s">
        <v>102</v>
      </c>
      <c r="G10" s="195"/>
      <c r="H10" s="195"/>
      <c r="I10" s="195"/>
      <c r="J10" s="195"/>
      <c r="K10" s="194"/>
      <c r="L10" s="193" t="s">
        <v>206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4"/>
      <c r="AP10" s="193" t="s">
        <v>324</v>
      </c>
      <c r="AQ10" s="194"/>
      <c r="AR10" s="193" t="s">
        <v>333</v>
      </c>
      <c r="AS10" s="195"/>
      <c r="AT10" s="195"/>
      <c r="AU10" s="195"/>
      <c r="AV10" s="194"/>
      <c r="AW10" s="193" t="s">
        <v>338</v>
      </c>
      <c r="AX10" s="195"/>
      <c r="AY10" s="195"/>
      <c r="AZ10" s="195"/>
      <c r="BA10" s="195"/>
      <c r="BB10" s="195"/>
      <c r="BC10" s="195"/>
      <c r="BD10" s="194"/>
      <c r="BE10" s="193" t="s">
        <v>340</v>
      </c>
      <c r="BF10" s="195"/>
      <c r="BG10" s="195"/>
      <c r="BH10" s="195"/>
      <c r="BI10" s="195"/>
      <c r="BJ10" s="195"/>
      <c r="BK10" s="195"/>
      <c r="BL10" s="196"/>
      <c r="BM10" s="5"/>
    </row>
    <row r="11" spans="1:64" ht="12.75">
      <c r="A11" s="217" t="s">
        <v>6</v>
      </c>
      <c r="B11" s="218"/>
      <c r="C11" s="217" t="s">
        <v>6</v>
      </c>
      <c r="D11" s="218"/>
      <c r="E11" s="218"/>
      <c r="F11" s="217"/>
      <c r="G11" s="218"/>
      <c r="H11" s="218"/>
      <c r="I11" s="218"/>
      <c r="J11" s="218"/>
      <c r="K11" s="218"/>
      <c r="L11" s="217" t="s">
        <v>235</v>
      </c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7" t="s">
        <v>6</v>
      </c>
      <c r="AQ11" s="218"/>
      <c r="AR11" s="214" t="s">
        <v>6</v>
      </c>
      <c r="AS11" s="215"/>
      <c r="AT11" s="215"/>
      <c r="AU11" s="215"/>
      <c r="AV11" s="215"/>
      <c r="AW11" s="214" t="s">
        <v>6</v>
      </c>
      <c r="AX11" s="215"/>
      <c r="AY11" s="215"/>
      <c r="AZ11" s="215"/>
      <c r="BA11" s="215"/>
      <c r="BB11" s="215"/>
      <c r="BC11" s="215"/>
      <c r="BD11" s="215"/>
      <c r="BE11" s="216">
        <f>BE12+BE15+BE18+BE20+BE25+BE29+BE32+BE35+BE41+BE45+BE48+BE50+BE52</f>
        <v>0</v>
      </c>
      <c r="BF11" s="215"/>
      <c r="BG11" s="215"/>
      <c r="BH11" s="215"/>
      <c r="BI11" s="215"/>
      <c r="BJ11" s="215"/>
      <c r="BK11" s="215"/>
      <c r="BL11" s="215"/>
    </row>
    <row r="12" spans="1:64" ht="12.75">
      <c r="A12" s="202" t="s">
        <v>6</v>
      </c>
      <c r="B12" s="203"/>
      <c r="C12" s="202" t="s">
        <v>6</v>
      </c>
      <c r="D12" s="203"/>
      <c r="E12" s="203"/>
      <c r="F12" s="202" t="s">
        <v>37</v>
      </c>
      <c r="G12" s="203"/>
      <c r="H12" s="203"/>
      <c r="I12" s="203"/>
      <c r="J12" s="203"/>
      <c r="K12" s="203"/>
      <c r="L12" s="202" t="s">
        <v>236</v>
      </c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2" t="s">
        <v>6</v>
      </c>
      <c r="AQ12" s="203"/>
      <c r="AR12" s="204" t="s">
        <v>6</v>
      </c>
      <c r="AS12" s="205"/>
      <c r="AT12" s="205"/>
      <c r="AU12" s="205"/>
      <c r="AV12" s="205"/>
      <c r="AW12" s="204" t="s">
        <v>6</v>
      </c>
      <c r="AX12" s="205"/>
      <c r="AY12" s="205"/>
      <c r="AZ12" s="205"/>
      <c r="BA12" s="205"/>
      <c r="BB12" s="205"/>
      <c r="BC12" s="205"/>
      <c r="BD12" s="205"/>
      <c r="BE12" s="206">
        <f>SUM(BE13:BE14)</f>
        <v>0</v>
      </c>
      <c r="BF12" s="205"/>
      <c r="BG12" s="205"/>
      <c r="BH12" s="205"/>
      <c r="BI12" s="205"/>
      <c r="BJ12" s="205"/>
      <c r="BK12" s="205"/>
      <c r="BL12" s="205"/>
    </row>
    <row r="13" spans="1:253" ht="12.75">
      <c r="A13" s="207" t="s">
        <v>31</v>
      </c>
      <c r="B13" s="208"/>
      <c r="C13" s="207" t="s">
        <v>100</v>
      </c>
      <c r="D13" s="208"/>
      <c r="E13" s="208"/>
      <c r="F13" s="207" t="s">
        <v>130</v>
      </c>
      <c r="G13" s="208"/>
      <c r="H13" s="208"/>
      <c r="I13" s="208"/>
      <c r="J13" s="208"/>
      <c r="K13" s="208"/>
      <c r="L13" s="207" t="s">
        <v>237</v>
      </c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7" t="s">
        <v>329</v>
      </c>
      <c r="AQ13" s="208"/>
      <c r="AR13" s="209">
        <v>5</v>
      </c>
      <c r="AS13" s="210"/>
      <c r="AT13" s="210"/>
      <c r="AU13" s="210"/>
      <c r="AV13" s="210"/>
      <c r="AW13" s="240"/>
      <c r="AX13" s="241"/>
      <c r="AY13" s="241"/>
      <c r="AZ13" s="241"/>
      <c r="BA13" s="241"/>
      <c r="BB13" s="241"/>
      <c r="BC13" s="241"/>
      <c r="BD13" s="241"/>
      <c r="BE13" s="209">
        <f>AR13*AW13</f>
        <v>0</v>
      </c>
      <c r="BF13" s="210"/>
      <c r="BG13" s="210"/>
      <c r="BH13" s="210"/>
      <c r="BI13" s="210"/>
      <c r="BJ13" s="210"/>
      <c r="BK13" s="210"/>
      <c r="BL13" s="210"/>
      <c r="BN13" s="135">
        <f>AR13*AW13</f>
        <v>0</v>
      </c>
      <c r="IR13" s="7">
        <f>AW13*0.671302876480541</f>
        <v>0</v>
      </c>
      <c r="IS13" s="7">
        <f>AW13*(1-0.671302876480541)</f>
        <v>0</v>
      </c>
    </row>
    <row r="14" spans="1:253" ht="12.75">
      <c r="A14" s="207" t="s">
        <v>32</v>
      </c>
      <c r="B14" s="208"/>
      <c r="C14" s="207" t="s">
        <v>100</v>
      </c>
      <c r="D14" s="208"/>
      <c r="E14" s="208"/>
      <c r="F14" s="207" t="s">
        <v>131</v>
      </c>
      <c r="G14" s="208"/>
      <c r="H14" s="208"/>
      <c r="I14" s="208"/>
      <c r="J14" s="208"/>
      <c r="K14" s="208"/>
      <c r="L14" s="207" t="s">
        <v>238</v>
      </c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7" t="s">
        <v>329</v>
      </c>
      <c r="AQ14" s="208"/>
      <c r="AR14" s="209">
        <v>1</v>
      </c>
      <c r="AS14" s="210"/>
      <c r="AT14" s="210"/>
      <c r="AU14" s="210"/>
      <c r="AV14" s="210"/>
      <c r="AW14" s="240"/>
      <c r="AX14" s="241"/>
      <c r="AY14" s="241"/>
      <c r="AZ14" s="241"/>
      <c r="BA14" s="241"/>
      <c r="BB14" s="241"/>
      <c r="BC14" s="241"/>
      <c r="BD14" s="241"/>
      <c r="BE14" s="209">
        <f>AR14*AW14</f>
        <v>0</v>
      </c>
      <c r="BF14" s="210"/>
      <c r="BG14" s="210"/>
      <c r="BH14" s="210"/>
      <c r="BI14" s="210"/>
      <c r="BJ14" s="210"/>
      <c r="BK14" s="210"/>
      <c r="BL14" s="210"/>
      <c r="BN14" s="135">
        <f aca="true" t="shared" si="0" ref="BN14:BN53">AR14*AW14</f>
        <v>0</v>
      </c>
      <c r="IR14" s="7">
        <f>AW14*0.784872646733112</f>
        <v>0</v>
      </c>
      <c r="IS14" s="7">
        <f>AW14*(1-0.784872646733112)</f>
        <v>0</v>
      </c>
    </row>
    <row r="15" spans="1:64" ht="12.75">
      <c r="A15" s="202" t="s">
        <v>6</v>
      </c>
      <c r="B15" s="203"/>
      <c r="C15" s="202" t="s">
        <v>6</v>
      </c>
      <c r="D15" s="203"/>
      <c r="E15" s="203"/>
      <c r="F15" s="202" t="s">
        <v>40</v>
      </c>
      <c r="G15" s="203"/>
      <c r="H15" s="203"/>
      <c r="I15" s="203"/>
      <c r="J15" s="203"/>
      <c r="K15" s="203"/>
      <c r="L15" s="202" t="s">
        <v>239</v>
      </c>
      <c r="M15" s="203"/>
      <c r="N15" s="203"/>
      <c r="O15" s="203"/>
      <c r="P15" s="203"/>
      <c r="Q15" s="203"/>
      <c r="R15" s="203"/>
      <c r="S15" s="203"/>
      <c r="T15" s="203"/>
      <c r="U15" s="203"/>
      <c r="V15" s="203"/>
      <c r="W15" s="203"/>
      <c r="X15" s="203"/>
      <c r="Y15" s="203"/>
      <c r="Z15" s="203"/>
      <c r="AA15" s="203"/>
      <c r="AB15" s="203"/>
      <c r="AC15" s="203"/>
      <c r="AD15" s="203"/>
      <c r="AE15" s="203"/>
      <c r="AF15" s="203"/>
      <c r="AG15" s="203"/>
      <c r="AH15" s="203"/>
      <c r="AI15" s="203"/>
      <c r="AJ15" s="203"/>
      <c r="AK15" s="203"/>
      <c r="AL15" s="203"/>
      <c r="AM15" s="203"/>
      <c r="AN15" s="203"/>
      <c r="AO15" s="203"/>
      <c r="AP15" s="202" t="s">
        <v>6</v>
      </c>
      <c r="AQ15" s="203"/>
      <c r="AR15" s="204" t="s">
        <v>6</v>
      </c>
      <c r="AS15" s="205"/>
      <c r="AT15" s="205"/>
      <c r="AU15" s="205"/>
      <c r="AV15" s="205"/>
      <c r="AW15" s="204" t="s">
        <v>6</v>
      </c>
      <c r="AX15" s="205"/>
      <c r="AY15" s="205"/>
      <c r="AZ15" s="205"/>
      <c r="BA15" s="205"/>
      <c r="BB15" s="205"/>
      <c r="BC15" s="205"/>
      <c r="BD15" s="205"/>
      <c r="BE15" s="206">
        <f>SUM(BE16:BE17)</f>
        <v>0</v>
      </c>
      <c r="BF15" s="205"/>
      <c r="BG15" s="205"/>
      <c r="BH15" s="205"/>
      <c r="BI15" s="205"/>
      <c r="BJ15" s="205"/>
      <c r="BK15" s="205"/>
      <c r="BL15" s="205"/>
    </row>
    <row r="16" spans="1:253" ht="12.75">
      <c r="A16" s="207" t="s">
        <v>33</v>
      </c>
      <c r="B16" s="208"/>
      <c r="C16" s="207" t="s">
        <v>100</v>
      </c>
      <c r="D16" s="208"/>
      <c r="E16" s="208"/>
      <c r="F16" s="207" t="s">
        <v>132</v>
      </c>
      <c r="G16" s="208"/>
      <c r="H16" s="208"/>
      <c r="I16" s="208"/>
      <c r="J16" s="208"/>
      <c r="K16" s="208"/>
      <c r="L16" s="207" t="s">
        <v>240</v>
      </c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7" t="s">
        <v>325</v>
      </c>
      <c r="AQ16" s="208"/>
      <c r="AR16" s="209">
        <v>18.43</v>
      </c>
      <c r="AS16" s="210"/>
      <c r="AT16" s="210"/>
      <c r="AU16" s="210"/>
      <c r="AV16" s="210"/>
      <c r="AW16" s="240"/>
      <c r="AX16" s="241"/>
      <c r="AY16" s="241"/>
      <c r="AZ16" s="241"/>
      <c r="BA16" s="241"/>
      <c r="BB16" s="241"/>
      <c r="BC16" s="241"/>
      <c r="BD16" s="241"/>
      <c r="BE16" s="209">
        <f>AR16*AW16</f>
        <v>0</v>
      </c>
      <c r="BF16" s="210"/>
      <c r="BG16" s="210"/>
      <c r="BH16" s="210"/>
      <c r="BI16" s="210"/>
      <c r="BJ16" s="210"/>
      <c r="BK16" s="210"/>
      <c r="BL16" s="210"/>
      <c r="BN16" s="135">
        <f t="shared" si="0"/>
        <v>0</v>
      </c>
      <c r="IR16" s="7">
        <f>AW16*0.609016697588126</f>
        <v>0</v>
      </c>
      <c r="IS16" s="7">
        <f>AW16*(1-0.609016697588126)</f>
        <v>0</v>
      </c>
    </row>
    <row r="17" spans="1:253" ht="12.75">
      <c r="A17" s="207" t="s">
        <v>34</v>
      </c>
      <c r="B17" s="208"/>
      <c r="C17" s="207" t="s">
        <v>100</v>
      </c>
      <c r="D17" s="208"/>
      <c r="E17" s="208"/>
      <c r="F17" s="207" t="s">
        <v>133</v>
      </c>
      <c r="G17" s="208"/>
      <c r="H17" s="208"/>
      <c r="I17" s="208"/>
      <c r="J17" s="208"/>
      <c r="K17" s="208"/>
      <c r="L17" s="207" t="s">
        <v>241</v>
      </c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7" t="s">
        <v>325</v>
      </c>
      <c r="AQ17" s="208"/>
      <c r="AR17" s="209">
        <v>15.5</v>
      </c>
      <c r="AS17" s="210"/>
      <c r="AT17" s="210"/>
      <c r="AU17" s="210"/>
      <c r="AV17" s="210"/>
      <c r="AW17" s="240"/>
      <c r="AX17" s="241"/>
      <c r="AY17" s="241"/>
      <c r="AZ17" s="241"/>
      <c r="BA17" s="241"/>
      <c r="BB17" s="241"/>
      <c r="BC17" s="241"/>
      <c r="BD17" s="241"/>
      <c r="BE17" s="209">
        <f>AR17*AW17</f>
        <v>0</v>
      </c>
      <c r="BF17" s="210"/>
      <c r="BG17" s="210"/>
      <c r="BH17" s="210"/>
      <c r="BI17" s="210"/>
      <c r="BJ17" s="210"/>
      <c r="BK17" s="210"/>
      <c r="BL17" s="210"/>
      <c r="BN17" s="135">
        <f t="shared" si="0"/>
        <v>0</v>
      </c>
      <c r="IR17" s="7">
        <f>AW17*0.664814305364512</f>
        <v>0</v>
      </c>
      <c r="IS17" s="7">
        <f>AW17*(1-0.664814305364512)</f>
        <v>0</v>
      </c>
    </row>
    <row r="18" spans="1:64" ht="12.75">
      <c r="A18" s="202" t="s">
        <v>6</v>
      </c>
      <c r="B18" s="203"/>
      <c r="C18" s="202" t="s">
        <v>6</v>
      </c>
      <c r="D18" s="203"/>
      <c r="E18" s="203"/>
      <c r="F18" s="202" t="s">
        <v>66</v>
      </c>
      <c r="G18" s="203"/>
      <c r="H18" s="203"/>
      <c r="I18" s="203"/>
      <c r="J18" s="203"/>
      <c r="K18" s="203"/>
      <c r="L18" s="202" t="s">
        <v>242</v>
      </c>
      <c r="M18" s="203"/>
      <c r="N18" s="203"/>
      <c r="O18" s="203"/>
      <c r="P18" s="203"/>
      <c r="Q18" s="203"/>
      <c r="R18" s="203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2" t="s">
        <v>6</v>
      </c>
      <c r="AQ18" s="203"/>
      <c r="AR18" s="204" t="s">
        <v>6</v>
      </c>
      <c r="AS18" s="205"/>
      <c r="AT18" s="205"/>
      <c r="AU18" s="205"/>
      <c r="AV18" s="205"/>
      <c r="AW18" s="204" t="s">
        <v>6</v>
      </c>
      <c r="AX18" s="205"/>
      <c r="AY18" s="205"/>
      <c r="AZ18" s="205"/>
      <c r="BA18" s="205"/>
      <c r="BB18" s="205"/>
      <c r="BC18" s="205"/>
      <c r="BD18" s="205"/>
      <c r="BE18" s="206">
        <f>SUM(BE19:BE19)</f>
        <v>0</v>
      </c>
      <c r="BF18" s="205"/>
      <c r="BG18" s="205"/>
      <c r="BH18" s="205"/>
      <c r="BI18" s="205"/>
      <c r="BJ18" s="205"/>
      <c r="BK18" s="205"/>
      <c r="BL18" s="205"/>
    </row>
    <row r="19" spans="1:253" ht="12.75">
      <c r="A19" s="207" t="s">
        <v>35</v>
      </c>
      <c r="B19" s="208"/>
      <c r="C19" s="207" t="s">
        <v>100</v>
      </c>
      <c r="D19" s="208"/>
      <c r="E19" s="208"/>
      <c r="F19" s="207" t="s">
        <v>134</v>
      </c>
      <c r="G19" s="208"/>
      <c r="H19" s="208"/>
      <c r="I19" s="208"/>
      <c r="J19" s="208"/>
      <c r="K19" s="208"/>
      <c r="L19" s="207" t="s">
        <v>243</v>
      </c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7" t="s">
        <v>325</v>
      </c>
      <c r="AQ19" s="208"/>
      <c r="AR19" s="209">
        <v>25.55</v>
      </c>
      <c r="AS19" s="210"/>
      <c r="AT19" s="210"/>
      <c r="AU19" s="210"/>
      <c r="AV19" s="210"/>
      <c r="AW19" s="240"/>
      <c r="AX19" s="241"/>
      <c r="AY19" s="241"/>
      <c r="AZ19" s="241"/>
      <c r="BA19" s="241"/>
      <c r="BB19" s="241"/>
      <c r="BC19" s="241"/>
      <c r="BD19" s="241"/>
      <c r="BE19" s="209">
        <f>AR19*AW19</f>
        <v>0</v>
      </c>
      <c r="BF19" s="210"/>
      <c r="BG19" s="210"/>
      <c r="BH19" s="210"/>
      <c r="BI19" s="210"/>
      <c r="BJ19" s="210"/>
      <c r="BK19" s="210"/>
      <c r="BL19" s="210"/>
      <c r="BN19" s="135">
        <f t="shared" si="0"/>
        <v>0</v>
      </c>
      <c r="IR19" s="7">
        <f>AW19*0.160694444444444</f>
        <v>0</v>
      </c>
      <c r="IS19" s="7">
        <f>AW19*(1-0.160694444444444)</f>
        <v>0</v>
      </c>
    </row>
    <row r="20" spans="1:64" ht="12.75">
      <c r="A20" s="202" t="s">
        <v>6</v>
      </c>
      <c r="B20" s="203"/>
      <c r="C20" s="202" t="s">
        <v>6</v>
      </c>
      <c r="D20" s="203"/>
      <c r="E20" s="203"/>
      <c r="F20" s="202" t="s">
        <v>67</v>
      </c>
      <c r="G20" s="203"/>
      <c r="H20" s="203"/>
      <c r="I20" s="203"/>
      <c r="J20" s="203"/>
      <c r="K20" s="203"/>
      <c r="L20" s="202" t="s">
        <v>244</v>
      </c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2" t="s">
        <v>6</v>
      </c>
      <c r="AQ20" s="203"/>
      <c r="AR20" s="204" t="s">
        <v>6</v>
      </c>
      <c r="AS20" s="205"/>
      <c r="AT20" s="205"/>
      <c r="AU20" s="205"/>
      <c r="AV20" s="205"/>
      <c r="AW20" s="204" t="s">
        <v>6</v>
      </c>
      <c r="AX20" s="205"/>
      <c r="AY20" s="205"/>
      <c r="AZ20" s="205"/>
      <c r="BA20" s="205"/>
      <c r="BB20" s="205"/>
      <c r="BC20" s="205"/>
      <c r="BD20" s="205"/>
      <c r="BE20" s="206">
        <f>SUM(BE21:BE24)</f>
        <v>0</v>
      </c>
      <c r="BF20" s="205"/>
      <c r="BG20" s="205"/>
      <c r="BH20" s="205"/>
      <c r="BI20" s="205"/>
      <c r="BJ20" s="205"/>
      <c r="BK20" s="205"/>
      <c r="BL20" s="205"/>
    </row>
    <row r="21" spans="1:253" ht="12.75">
      <c r="A21" s="207" t="s">
        <v>36</v>
      </c>
      <c r="B21" s="208"/>
      <c r="C21" s="207" t="s">
        <v>100</v>
      </c>
      <c r="D21" s="208"/>
      <c r="E21" s="208"/>
      <c r="F21" s="207" t="s">
        <v>135</v>
      </c>
      <c r="G21" s="208"/>
      <c r="H21" s="208"/>
      <c r="I21" s="208"/>
      <c r="J21" s="208"/>
      <c r="K21" s="208"/>
      <c r="L21" s="207" t="s">
        <v>245</v>
      </c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7" t="s">
        <v>325</v>
      </c>
      <c r="AQ21" s="208"/>
      <c r="AR21" s="209">
        <v>42.48</v>
      </c>
      <c r="AS21" s="210"/>
      <c r="AT21" s="210"/>
      <c r="AU21" s="210"/>
      <c r="AV21" s="210"/>
      <c r="AW21" s="240"/>
      <c r="AX21" s="241"/>
      <c r="AY21" s="241"/>
      <c r="AZ21" s="241"/>
      <c r="BA21" s="241"/>
      <c r="BB21" s="241"/>
      <c r="BC21" s="241"/>
      <c r="BD21" s="241"/>
      <c r="BE21" s="209">
        <f>AR21*AW21</f>
        <v>0</v>
      </c>
      <c r="BF21" s="210"/>
      <c r="BG21" s="210"/>
      <c r="BH21" s="210"/>
      <c r="BI21" s="210"/>
      <c r="BJ21" s="210"/>
      <c r="BK21" s="210"/>
      <c r="BL21" s="210"/>
      <c r="BN21" s="135">
        <f t="shared" si="0"/>
        <v>0</v>
      </c>
      <c r="IR21" s="7">
        <f>AW21*0.132521739130435</f>
        <v>0</v>
      </c>
      <c r="IS21" s="7">
        <f>AW21*(1-0.132521739130435)</f>
        <v>0</v>
      </c>
    </row>
    <row r="22" spans="1:253" ht="12.75">
      <c r="A22" s="207" t="s">
        <v>37</v>
      </c>
      <c r="B22" s="208"/>
      <c r="C22" s="207" t="s">
        <v>100</v>
      </c>
      <c r="D22" s="208"/>
      <c r="E22" s="208"/>
      <c r="F22" s="207" t="s">
        <v>136</v>
      </c>
      <c r="G22" s="208"/>
      <c r="H22" s="208"/>
      <c r="I22" s="208"/>
      <c r="J22" s="208"/>
      <c r="K22" s="208"/>
      <c r="L22" s="207" t="s">
        <v>246</v>
      </c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7" t="s">
        <v>325</v>
      </c>
      <c r="AQ22" s="208"/>
      <c r="AR22" s="209">
        <v>6.9</v>
      </c>
      <c r="AS22" s="210"/>
      <c r="AT22" s="210"/>
      <c r="AU22" s="210"/>
      <c r="AV22" s="210"/>
      <c r="AW22" s="240"/>
      <c r="AX22" s="241"/>
      <c r="AY22" s="241"/>
      <c r="AZ22" s="241"/>
      <c r="BA22" s="241"/>
      <c r="BB22" s="241"/>
      <c r="BC22" s="241"/>
      <c r="BD22" s="241"/>
      <c r="BE22" s="209">
        <f>AR22*AW22</f>
        <v>0</v>
      </c>
      <c r="BF22" s="210"/>
      <c r="BG22" s="210"/>
      <c r="BH22" s="210"/>
      <c r="BI22" s="210"/>
      <c r="BJ22" s="210"/>
      <c r="BK22" s="210"/>
      <c r="BL22" s="210"/>
      <c r="BN22" s="135">
        <f t="shared" si="0"/>
        <v>0</v>
      </c>
      <c r="IR22" s="7">
        <f>AW22*0.296875</f>
        <v>0</v>
      </c>
      <c r="IS22" s="7">
        <f>AW22*(1-0.296875)</f>
        <v>0</v>
      </c>
    </row>
    <row r="23" spans="1:253" ht="12.75">
      <c r="A23" s="207" t="s">
        <v>38</v>
      </c>
      <c r="B23" s="208"/>
      <c r="C23" s="207" t="s">
        <v>100</v>
      </c>
      <c r="D23" s="208"/>
      <c r="E23" s="208"/>
      <c r="F23" s="207" t="s">
        <v>137</v>
      </c>
      <c r="G23" s="208"/>
      <c r="H23" s="208"/>
      <c r="I23" s="208"/>
      <c r="J23" s="208"/>
      <c r="K23" s="208"/>
      <c r="L23" s="207" t="s">
        <v>247</v>
      </c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7" t="s">
        <v>325</v>
      </c>
      <c r="AQ23" s="208"/>
      <c r="AR23" s="209">
        <v>11.79</v>
      </c>
      <c r="AS23" s="210"/>
      <c r="AT23" s="210"/>
      <c r="AU23" s="210"/>
      <c r="AV23" s="210"/>
      <c r="AW23" s="240"/>
      <c r="AX23" s="241"/>
      <c r="AY23" s="241"/>
      <c r="AZ23" s="241"/>
      <c r="BA23" s="241"/>
      <c r="BB23" s="241"/>
      <c r="BC23" s="241"/>
      <c r="BD23" s="241"/>
      <c r="BE23" s="209">
        <f>AR23*AW23</f>
        <v>0</v>
      </c>
      <c r="BF23" s="210"/>
      <c r="BG23" s="210"/>
      <c r="BH23" s="210"/>
      <c r="BI23" s="210"/>
      <c r="BJ23" s="210"/>
      <c r="BK23" s="210"/>
      <c r="BL23" s="210"/>
      <c r="BN23" s="135">
        <f t="shared" si="0"/>
        <v>0</v>
      </c>
      <c r="IR23" s="7">
        <f>AW23*0.271581600504096</f>
        <v>0</v>
      </c>
      <c r="IS23" s="7">
        <f>AW23*(1-0.271581600504096)</f>
        <v>0</v>
      </c>
    </row>
    <row r="24" spans="1:253" ht="12.75">
      <c r="A24" s="207" t="s">
        <v>39</v>
      </c>
      <c r="B24" s="208"/>
      <c r="C24" s="207" t="s">
        <v>100</v>
      </c>
      <c r="D24" s="208"/>
      <c r="E24" s="208"/>
      <c r="F24" s="207" t="s">
        <v>138</v>
      </c>
      <c r="G24" s="208"/>
      <c r="H24" s="208"/>
      <c r="I24" s="208"/>
      <c r="J24" s="208"/>
      <c r="K24" s="208"/>
      <c r="L24" s="207" t="s">
        <v>248</v>
      </c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7" t="s">
        <v>325</v>
      </c>
      <c r="AQ24" s="208"/>
      <c r="AR24" s="209">
        <v>55.07</v>
      </c>
      <c r="AS24" s="210"/>
      <c r="AT24" s="210"/>
      <c r="AU24" s="210"/>
      <c r="AV24" s="210"/>
      <c r="AW24" s="240"/>
      <c r="AX24" s="241"/>
      <c r="AY24" s="241"/>
      <c r="AZ24" s="241"/>
      <c r="BA24" s="241"/>
      <c r="BB24" s="241"/>
      <c r="BC24" s="241"/>
      <c r="BD24" s="241"/>
      <c r="BE24" s="209">
        <f>AR24*AW24</f>
        <v>0</v>
      </c>
      <c r="BF24" s="210"/>
      <c r="BG24" s="210"/>
      <c r="BH24" s="210"/>
      <c r="BI24" s="210"/>
      <c r="BJ24" s="210"/>
      <c r="BK24" s="210"/>
      <c r="BL24" s="210"/>
      <c r="BN24" s="135">
        <f t="shared" si="0"/>
        <v>0</v>
      </c>
      <c r="IR24" s="7">
        <f>AW24*0.324575650456992</f>
        <v>0</v>
      </c>
      <c r="IS24" s="7">
        <f>AW24*(1-0.324575650456992)</f>
        <v>0</v>
      </c>
    </row>
    <row r="25" spans="1:64" ht="12.75">
      <c r="A25" s="202" t="s">
        <v>6</v>
      </c>
      <c r="B25" s="203"/>
      <c r="C25" s="202" t="s">
        <v>6</v>
      </c>
      <c r="D25" s="203"/>
      <c r="E25" s="203"/>
      <c r="F25" s="202" t="s">
        <v>69</v>
      </c>
      <c r="G25" s="203"/>
      <c r="H25" s="203"/>
      <c r="I25" s="203"/>
      <c r="J25" s="203"/>
      <c r="K25" s="203"/>
      <c r="L25" s="202" t="s">
        <v>249</v>
      </c>
      <c r="M25" s="203"/>
      <c r="N25" s="203"/>
      <c r="O25" s="203"/>
      <c r="P25" s="203"/>
      <c r="Q25" s="203"/>
      <c r="R25" s="203"/>
      <c r="S25" s="203"/>
      <c r="T25" s="203"/>
      <c r="U25" s="203"/>
      <c r="V25" s="203"/>
      <c r="W25" s="203"/>
      <c r="X25" s="203"/>
      <c r="Y25" s="203"/>
      <c r="Z25" s="203"/>
      <c r="AA25" s="203"/>
      <c r="AB25" s="203"/>
      <c r="AC25" s="203"/>
      <c r="AD25" s="203"/>
      <c r="AE25" s="203"/>
      <c r="AF25" s="203"/>
      <c r="AG25" s="203"/>
      <c r="AH25" s="203"/>
      <c r="AI25" s="203"/>
      <c r="AJ25" s="203"/>
      <c r="AK25" s="203"/>
      <c r="AL25" s="203"/>
      <c r="AM25" s="203"/>
      <c r="AN25" s="203"/>
      <c r="AO25" s="203"/>
      <c r="AP25" s="202" t="s">
        <v>6</v>
      </c>
      <c r="AQ25" s="203"/>
      <c r="AR25" s="204" t="s">
        <v>6</v>
      </c>
      <c r="AS25" s="205"/>
      <c r="AT25" s="205"/>
      <c r="AU25" s="205"/>
      <c r="AV25" s="205"/>
      <c r="AW25" s="204" t="s">
        <v>6</v>
      </c>
      <c r="AX25" s="205"/>
      <c r="AY25" s="205"/>
      <c r="AZ25" s="205"/>
      <c r="BA25" s="205"/>
      <c r="BB25" s="205"/>
      <c r="BC25" s="205"/>
      <c r="BD25" s="205"/>
      <c r="BE25" s="206">
        <f>SUM(BE26:BE28)</f>
        <v>0</v>
      </c>
      <c r="BF25" s="205"/>
      <c r="BG25" s="205"/>
      <c r="BH25" s="205"/>
      <c r="BI25" s="205"/>
      <c r="BJ25" s="205"/>
      <c r="BK25" s="205"/>
      <c r="BL25" s="205"/>
    </row>
    <row r="26" spans="1:253" ht="12.75">
      <c r="A26" s="207" t="s">
        <v>40</v>
      </c>
      <c r="B26" s="208"/>
      <c r="C26" s="207" t="s">
        <v>100</v>
      </c>
      <c r="D26" s="208"/>
      <c r="E26" s="208"/>
      <c r="F26" s="207" t="s">
        <v>139</v>
      </c>
      <c r="G26" s="208"/>
      <c r="H26" s="208"/>
      <c r="I26" s="208"/>
      <c r="J26" s="208"/>
      <c r="K26" s="208"/>
      <c r="L26" s="207" t="s">
        <v>250</v>
      </c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7" t="s">
        <v>325</v>
      </c>
      <c r="AQ26" s="208"/>
      <c r="AR26" s="209">
        <v>25.55</v>
      </c>
      <c r="AS26" s="210"/>
      <c r="AT26" s="210"/>
      <c r="AU26" s="210"/>
      <c r="AV26" s="210"/>
      <c r="AW26" s="240"/>
      <c r="AX26" s="241"/>
      <c r="AY26" s="241"/>
      <c r="AZ26" s="241"/>
      <c r="BA26" s="241"/>
      <c r="BB26" s="241"/>
      <c r="BC26" s="241"/>
      <c r="BD26" s="241"/>
      <c r="BE26" s="209">
        <f>AR26*AW26</f>
        <v>0</v>
      </c>
      <c r="BF26" s="210"/>
      <c r="BG26" s="210"/>
      <c r="BH26" s="210"/>
      <c r="BI26" s="210"/>
      <c r="BJ26" s="210"/>
      <c r="BK26" s="210"/>
      <c r="BL26" s="210"/>
      <c r="BN26" s="135">
        <f t="shared" si="0"/>
        <v>0</v>
      </c>
      <c r="IR26" s="7">
        <f>AW26*0.475244299674267</f>
        <v>0</v>
      </c>
      <c r="IS26" s="7">
        <f>AW26*(1-0.475244299674267)</f>
        <v>0</v>
      </c>
    </row>
    <row r="27" spans="1:253" ht="12.75">
      <c r="A27" s="207" t="s">
        <v>41</v>
      </c>
      <c r="B27" s="208"/>
      <c r="C27" s="207" t="s">
        <v>100</v>
      </c>
      <c r="D27" s="208"/>
      <c r="E27" s="208"/>
      <c r="F27" s="207" t="s">
        <v>140</v>
      </c>
      <c r="G27" s="208"/>
      <c r="H27" s="208"/>
      <c r="I27" s="208"/>
      <c r="J27" s="208"/>
      <c r="K27" s="208"/>
      <c r="L27" s="207" t="s">
        <v>251</v>
      </c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7" t="s">
        <v>325</v>
      </c>
      <c r="AQ27" s="208"/>
      <c r="AR27" s="209">
        <v>25.55</v>
      </c>
      <c r="AS27" s="210"/>
      <c r="AT27" s="210"/>
      <c r="AU27" s="210"/>
      <c r="AV27" s="210"/>
      <c r="AW27" s="240"/>
      <c r="AX27" s="241"/>
      <c r="AY27" s="241"/>
      <c r="AZ27" s="241"/>
      <c r="BA27" s="241"/>
      <c r="BB27" s="241"/>
      <c r="BC27" s="241"/>
      <c r="BD27" s="241"/>
      <c r="BE27" s="209">
        <f>AR27*AW27</f>
        <v>0</v>
      </c>
      <c r="BF27" s="210"/>
      <c r="BG27" s="210"/>
      <c r="BH27" s="210"/>
      <c r="BI27" s="210"/>
      <c r="BJ27" s="210"/>
      <c r="BK27" s="210"/>
      <c r="BL27" s="210"/>
      <c r="BN27" s="135">
        <f t="shared" si="0"/>
        <v>0</v>
      </c>
      <c r="IR27" s="7">
        <f>AW27*0.654912985274431</f>
        <v>0</v>
      </c>
      <c r="IS27" s="7">
        <f>AW27*(1-0.654912985274431)</f>
        <v>0</v>
      </c>
    </row>
    <row r="28" spans="1:253" ht="12.75">
      <c r="A28" s="207" t="s">
        <v>42</v>
      </c>
      <c r="B28" s="208"/>
      <c r="C28" s="207" t="s">
        <v>100</v>
      </c>
      <c r="D28" s="208"/>
      <c r="E28" s="208"/>
      <c r="F28" s="207" t="s">
        <v>141</v>
      </c>
      <c r="G28" s="208"/>
      <c r="H28" s="208"/>
      <c r="I28" s="208"/>
      <c r="J28" s="208"/>
      <c r="K28" s="208"/>
      <c r="L28" s="207" t="s">
        <v>252</v>
      </c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7" t="s">
        <v>330</v>
      </c>
      <c r="AQ28" s="208"/>
      <c r="AR28" s="209">
        <v>0.25</v>
      </c>
      <c r="AS28" s="210"/>
      <c r="AT28" s="210"/>
      <c r="AU28" s="210"/>
      <c r="AV28" s="210"/>
      <c r="AW28" s="240"/>
      <c r="AX28" s="241"/>
      <c r="AY28" s="241"/>
      <c r="AZ28" s="241"/>
      <c r="BA28" s="241"/>
      <c r="BB28" s="241"/>
      <c r="BC28" s="241"/>
      <c r="BD28" s="241"/>
      <c r="BE28" s="209">
        <f>AR28*AW28</f>
        <v>0</v>
      </c>
      <c r="BF28" s="210"/>
      <c r="BG28" s="210"/>
      <c r="BH28" s="210"/>
      <c r="BI28" s="210"/>
      <c r="BJ28" s="210"/>
      <c r="BK28" s="210"/>
      <c r="BL28" s="210"/>
      <c r="BN28" s="135">
        <f t="shared" si="0"/>
        <v>0</v>
      </c>
      <c r="IR28" s="7">
        <f>AW28*0.520880943767482</f>
        <v>0</v>
      </c>
      <c r="IS28" s="7">
        <f>AW28*(1-0.520880943767482)</f>
        <v>0</v>
      </c>
    </row>
    <row r="29" spans="1:64" ht="12.75">
      <c r="A29" s="202" t="s">
        <v>6</v>
      </c>
      <c r="B29" s="203"/>
      <c r="C29" s="202" t="s">
        <v>6</v>
      </c>
      <c r="D29" s="203"/>
      <c r="E29" s="203"/>
      <c r="F29" s="202" t="s">
        <v>70</v>
      </c>
      <c r="G29" s="203"/>
      <c r="H29" s="203"/>
      <c r="I29" s="203"/>
      <c r="J29" s="203"/>
      <c r="K29" s="203"/>
      <c r="L29" s="202" t="s">
        <v>253</v>
      </c>
      <c r="M29" s="203"/>
      <c r="N29" s="203"/>
      <c r="O29" s="203"/>
      <c r="P29" s="203"/>
      <c r="Q29" s="203"/>
      <c r="R29" s="203"/>
      <c r="S29" s="203"/>
      <c r="T29" s="203"/>
      <c r="U29" s="203"/>
      <c r="V29" s="203"/>
      <c r="W29" s="203"/>
      <c r="X29" s="203"/>
      <c r="Y29" s="203"/>
      <c r="Z29" s="203"/>
      <c r="AA29" s="203"/>
      <c r="AB29" s="203"/>
      <c r="AC29" s="203"/>
      <c r="AD29" s="203"/>
      <c r="AE29" s="203"/>
      <c r="AF29" s="203"/>
      <c r="AG29" s="203"/>
      <c r="AH29" s="203"/>
      <c r="AI29" s="203"/>
      <c r="AJ29" s="203"/>
      <c r="AK29" s="203"/>
      <c r="AL29" s="203"/>
      <c r="AM29" s="203"/>
      <c r="AN29" s="203"/>
      <c r="AO29" s="203"/>
      <c r="AP29" s="202" t="s">
        <v>6</v>
      </c>
      <c r="AQ29" s="203"/>
      <c r="AR29" s="204" t="s">
        <v>6</v>
      </c>
      <c r="AS29" s="205"/>
      <c r="AT29" s="205"/>
      <c r="AU29" s="205"/>
      <c r="AV29" s="205"/>
      <c r="AW29" s="204" t="s">
        <v>6</v>
      </c>
      <c r="AX29" s="205"/>
      <c r="AY29" s="205"/>
      <c r="AZ29" s="205"/>
      <c r="BA29" s="205"/>
      <c r="BB29" s="205"/>
      <c r="BC29" s="205"/>
      <c r="BD29" s="205"/>
      <c r="BE29" s="206">
        <f>SUM(BE30:BE31)</f>
        <v>0</v>
      </c>
      <c r="BF29" s="205"/>
      <c r="BG29" s="205"/>
      <c r="BH29" s="205"/>
      <c r="BI29" s="205"/>
      <c r="BJ29" s="205"/>
      <c r="BK29" s="205"/>
      <c r="BL29" s="205"/>
    </row>
    <row r="30" spans="1:253" ht="12.75">
      <c r="A30" s="207" t="s">
        <v>43</v>
      </c>
      <c r="B30" s="208"/>
      <c r="C30" s="207" t="s">
        <v>100</v>
      </c>
      <c r="D30" s="208"/>
      <c r="E30" s="208"/>
      <c r="F30" s="207" t="s">
        <v>142</v>
      </c>
      <c r="G30" s="208"/>
      <c r="H30" s="208"/>
      <c r="I30" s="208"/>
      <c r="J30" s="208"/>
      <c r="K30" s="208"/>
      <c r="L30" s="207" t="s">
        <v>254</v>
      </c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7" t="s">
        <v>329</v>
      </c>
      <c r="AQ30" s="208"/>
      <c r="AR30" s="209">
        <v>6</v>
      </c>
      <c r="AS30" s="210"/>
      <c r="AT30" s="210"/>
      <c r="AU30" s="210"/>
      <c r="AV30" s="210"/>
      <c r="AW30" s="240"/>
      <c r="AX30" s="241"/>
      <c r="AY30" s="241"/>
      <c r="AZ30" s="241"/>
      <c r="BA30" s="241"/>
      <c r="BB30" s="241"/>
      <c r="BC30" s="241"/>
      <c r="BD30" s="241"/>
      <c r="BE30" s="209">
        <f>AR30*AW30</f>
        <v>0</v>
      </c>
      <c r="BF30" s="210"/>
      <c r="BG30" s="210"/>
      <c r="BH30" s="210"/>
      <c r="BI30" s="210"/>
      <c r="BJ30" s="210"/>
      <c r="BK30" s="210"/>
      <c r="BL30" s="210"/>
      <c r="BN30" s="135">
        <f t="shared" si="0"/>
        <v>0</v>
      </c>
      <c r="IR30" s="7">
        <f>AW30*0.507271523178808</f>
        <v>0</v>
      </c>
      <c r="IS30" s="7">
        <f>AW30*(1-0.507271523178808)</f>
        <v>0</v>
      </c>
    </row>
    <row r="31" spans="1:253" ht="12.75">
      <c r="A31" s="207" t="s">
        <v>44</v>
      </c>
      <c r="B31" s="208"/>
      <c r="C31" s="207" t="s">
        <v>100</v>
      </c>
      <c r="D31" s="208"/>
      <c r="E31" s="208"/>
      <c r="F31" s="207" t="s">
        <v>143</v>
      </c>
      <c r="G31" s="208"/>
      <c r="H31" s="208"/>
      <c r="I31" s="208"/>
      <c r="J31" s="208"/>
      <c r="K31" s="208"/>
      <c r="L31" s="207" t="s">
        <v>255</v>
      </c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7"/>
      <c r="AQ31" s="208"/>
      <c r="AR31" s="209">
        <v>6</v>
      </c>
      <c r="AS31" s="210"/>
      <c r="AT31" s="210"/>
      <c r="AU31" s="210"/>
      <c r="AV31" s="210"/>
      <c r="AW31" s="240"/>
      <c r="AX31" s="241"/>
      <c r="AY31" s="241"/>
      <c r="AZ31" s="241"/>
      <c r="BA31" s="241"/>
      <c r="BB31" s="241"/>
      <c r="BC31" s="241"/>
      <c r="BD31" s="241"/>
      <c r="BE31" s="209">
        <f>AR31*AW31</f>
        <v>0</v>
      </c>
      <c r="BF31" s="210"/>
      <c r="BG31" s="210"/>
      <c r="BH31" s="210"/>
      <c r="BI31" s="210"/>
      <c r="BJ31" s="210"/>
      <c r="BK31" s="210"/>
      <c r="BL31" s="210"/>
      <c r="BN31" s="135">
        <f t="shared" si="0"/>
        <v>0</v>
      </c>
      <c r="IR31" s="7">
        <f>AW31*0.94017094017094</f>
        <v>0</v>
      </c>
      <c r="IS31" s="7">
        <f>AW31*(1-0.94017094017094)</f>
        <v>0</v>
      </c>
    </row>
    <row r="32" spans="1:64" ht="12.75">
      <c r="A32" s="202" t="s">
        <v>6</v>
      </c>
      <c r="B32" s="203"/>
      <c r="C32" s="202" t="s">
        <v>6</v>
      </c>
      <c r="D32" s="203"/>
      <c r="E32" s="203"/>
      <c r="F32" s="202" t="s">
        <v>144</v>
      </c>
      <c r="G32" s="203"/>
      <c r="H32" s="203"/>
      <c r="I32" s="203"/>
      <c r="J32" s="203"/>
      <c r="K32" s="203"/>
      <c r="L32" s="202" t="s">
        <v>256</v>
      </c>
      <c r="M32" s="203"/>
      <c r="N32" s="203"/>
      <c r="O32" s="203"/>
      <c r="P32" s="203"/>
      <c r="Q32" s="203"/>
      <c r="R32" s="203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2" t="s">
        <v>6</v>
      </c>
      <c r="AQ32" s="203"/>
      <c r="AR32" s="204" t="s">
        <v>6</v>
      </c>
      <c r="AS32" s="205"/>
      <c r="AT32" s="205"/>
      <c r="AU32" s="205"/>
      <c r="AV32" s="205"/>
      <c r="AW32" s="204" t="s">
        <v>6</v>
      </c>
      <c r="AX32" s="205"/>
      <c r="AY32" s="205"/>
      <c r="AZ32" s="205"/>
      <c r="BA32" s="205"/>
      <c r="BB32" s="205"/>
      <c r="BC32" s="205"/>
      <c r="BD32" s="205"/>
      <c r="BE32" s="206">
        <f>SUM(BE33:BE34)</f>
        <v>0</v>
      </c>
      <c r="BF32" s="205"/>
      <c r="BG32" s="205"/>
      <c r="BH32" s="205"/>
      <c r="BI32" s="205"/>
      <c r="BJ32" s="205"/>
      <c r="BK32" s="205"/>
      <c r="BL32" s="205"/>
    </row>
    <row r="33" spans="1:253" ht="12.75">
      <c r="A33" s="207" t="s">
        <v>45</v>
      </c>
      <c r="B33" s="208"/>
      <c r="C33" s="207" t="s">
        <v>100</v>
      </c>
      <c r="D33" s="208"/>
      <c r="E33" s="208"/>
      <c r="F33" s="207" t="s">
        <v>145</v>
      </c>
      <c r="G33" s="208"/>
      <c r="H33" s="208"/>
      <c r="I33" s="208"/>
      <c r="J33" s="208"/>
      <c r="K33" s="208"/>
      <c r="L33" s="207" t="s">
        <v>257</v>
      </c>
      <c r="M33" s="208"/>
      <c r="N33" s="208"/>
      <c r="O33" s="208"/>
      <c r="P33" s="208"/>
      <c r="Q33" s="208"/>
      <c r="R33" s="208"/>
      <c r="S33" s="208"/>
      <c r="T33" s="208"/>
      <c r="U33" s="208"/>
      <c r="V33" s="208"/>
      <c r="W33" s="208"/>
      <c r="X33" s="208"/>
      <c r="Y33" s="208"/>
      <c r="Z33" s="208"/>
      <c r="AA33" s="208"/>
      <c r="AB33" s="208"/>
      <c r="AC33" s="208"/>
      <c r="AD33" s="208"/>
      <c r="AE33" s="208"/>
      <c r="AF33" s="208"/>
      <c r="AG33" s="208"/>
      <c r="AH33" s="208"/>
      <c r="AI33" s="208"/>
      <c r="AJ33" s="208"/>
      <c r="AK33" s="208"/>
      <c r="AL33" s="208"/>
      <c r="AM33" s="208"/>
      <c r="AN33" s="208"/>
      <c r="AO33" s="208"/>
      <c r="AP33" s="207" t="s">
        <v>325</v>
      </c>
      <c r="AQ33" s="208"/>
      <c r="AR33" s="209">
        <v>25.55</v>
      </c>
      <c r="AS33" s="210"/>
      <c r="AT33" s="210"/>
      <c r="AU33" s="210"/>
      <c r="AV33" s="210"/>
      <c r="AW33" s="240"/>
      <c r="AX33" s="241"/>
      <c r="AY33" s="241"/>
      <c r="AZ33" s="241"/>
      <c r="BA33" s="241"/>
      <c r="BB33" s="241"/>
      <c r="BC33" s="241"/>
      <c r="BD33" s="241"/>
      <c r="BE33" s="209">
        <f>AR33*AW33</f>
        <v>0</v>
      </c>
      <c r="BF33" s="210"/>
      <c r="BG33" s="210"/>
      <c r="BH33" s="210"/>
      <c r="BI33" s="210"/>
      <c r="BJ33" s="210"/>
      <c r="BK33" s="210"/>
      <c r="BL33" s="210"/>
      <c r="BN33" s="135">
        <f t="shared" si="0"/>
        <v>0</v>
      </c>
      <c r="IR33" s="7">
        <f>AW33*0.351585365853659</f>
        <v>0</v>
      </c>
      <c r="IS33" s="7">
        <f>AW33*(1-0.351585365853659)</f>
        <v>0</v>
      </c>
    </row>
    <row r="34" spans="1:253" ht="12.75">
      <c r="A34" s="207" t="s">
        <v>46</v>
      </c>
      <c r="B34" s="208"/>
      <c r="C34" s="207" t="s">
        <v>100</v>
      </c>
      <c r="D34" s="208"/>
      <c r="E34" s="208"/>
      <c r="F34" s="207" t="s">
        <v>146</v>
      </c>
      <c r="G34" s="208"/>
      <c r="H34" s="208"/>
      <c r="I34" s="208"/>
      <c r="J34" s="208"/>
      <c r="K34" s="208"/>
      <c r="L34" s="207" t="s">
        <v>258</v>
      </c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7" t="s">
        <v>328</v>
      </c>
      <c r="AQ34" s="208"/>
      <c r="AR34" s="209">
        <v>54.02</v>
      </c>
      <c r="AS34" s="210"/>
      <c r="AT34" s="210"/>
      <c r="AU34" s="210"/>
      <c r="AV34" s="210"/>
      <c r="AW34" s="240"/>
      <c r="AX34" s="241"/>
      <c r="AY34" s="241"/>
      <c r="AZ34" s="241"/>
      <c r="BA34" s="241"/>
      <c r="BB34" s="241"/>
      <c r="BC34" s="241"/>
      <c r="BD34" s="241"/>
      <c r="BE34" s="209">
        <f>AR34*AW34</f>
        <v>0</v>
      </c>
      <c r="BF34" s="210"/>
      <c r="BG34" s="210"/>
      <c r="BH34" s="210"/>
      <c r="BI34" s="210"/>
      <c r="BJ34" s="210"/>
      <c r="BK34" s="210"/>
      <c r="BL34" s="210"/>
      <c r="BN34" s="135">
        <f t="shared" si="0"/>
        <v>0</v>
      </c>
      <c r="IR34" s="7">
        <f>AW34*0.707158504699314</f>
        <v>0</v>
      </c>
      <c r="IS34" s="7">
        <f>AW34*(1-0.707158504699314)</f>
        <v>0</v>
      </c>
    </row>
    <row r="35" spans="1:64" ht="12.75">
      <c r="A35" s="202" t="s">
        <v>6</v>
      </c>
      <c r="B35" s="203"/>
      <c r="C35" s="202" t="s">
        <v>6</v>
      </c>
      <c r="D35" s="203"/>
      <c r="E35" s="203"/>
      <c r="F35" s="202" t="s">
        <v>147</v>
      </c>
      <c r="G35" s="203"/>
      <c r="H35" s="203"/>
      <c r="I35" s="203"/>
      <c r="J35" s="203"/>
      <c r="K35" s="203"/>
      <c r="L35" s="202" t="s">
        <v>259</v>
      </c>
      <c r="M35" s="203"/>
      <c r="N35" s="203"/>
      <c r="O35" s="203"/>
      <c r="P35" s="203"/>
      <c r="Q35" s="203"/>
      <c r="R35" s="203"/>
      <c r="S35" s="203"/>
      <c r="T35" s="203"/>
      <c r="U35" s="203"/>
      <c r="V35" s="203"/>
      <c r="W35" s="203"/>
      <c r="X35" s="203"/>
      <c r="Y35" s="203"/>
      <c r="Z35" s="203"/>
      <c r="AA35" s="203"/>
      <c r="AB35" s="203"/>
      <c r="AC35" s="203"/>
      <c r="AD35" s="203"/>
      <c r="AE35" s="203"/>
      <c r="AF35" s="203"/>
      <c r="AG35" s="203"/>
      <c r="AH35" s="203"/>
      <c r="AI35" s="203"/>
      <c r="AJ35" s="203"/>
      <c r="AK35" s="203"/>
      <c r="AL35" s="203"/>
      <c r="AM35" s="203"/>
      <c r="AN35" s="203"/>
      <c r="AO35" s="203"/>
      <c r="AP35" s="202" t="s">
        <v>6</v>
      </c>
      <c r="AQ35" s="203"/>
      <c r="AR35" s="204" t="s">
        <v>6</v>
      </c>
      <c r="AS35" s="205"/>
      <c r="AT35" s="205"/>
      <c r="AU35" s="205"/>
      <c r="AV35" s="205"/>
      <c r="AW35" s="204" t="s">
        <v>6</v>
      </c>
      <c r="AX35" s="205"/>
      <c r="AY35" s="205"/>
      <c r="AZ35" s="205"/>
      <c r="BA35" s="205"/>
      <c r="BB35" s="205"/>
      <c r="BC35" s="205"/>
      <c r="BD35" s="205"/>
      <c r="BE35" s="206">
        <f>SUM(BE36:BE40)</f>
        <v>0</v>
      </c>
      <c r="BF35" s="205"/>
      <c r="BG35" s="205"/>
      <c r="BH35" s="205"/>
      <c r="BI35" s="205"/>
      <c r="BJ35" s="205"/>
      <c r="BK35" s="205"/>
      <c r="BL35" s="205"/>
    </row>
    <row r="36" spans="1:253" ht="12.75">
      <c r="A36" s="207" t="s">
        <v>47</v>
      </c>
      <c r="B36" s="208"/>
      <c r="C36" s="207" t="s">
        <v>100</v>
      </c>
      <c r="D36" s="208"/>
      <c r="E36" s="208"/>
      <c r="F36" s="207" t="s">
        <v>148</v>
      </c>
      <c r="G36" s="208"/>
      <c r="H36" s="208"/>
      <c r="I36" s="208"/>
      <c r="J36" s="208"/>
      <c r="K36" s="208"/>
      <c r="L36" s="207" t="s">
        <v>260</v>
      </c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7" t="s">
        <v>325</v>
      </c>
      <c r="AQ36" s="208"/>
      <c r="AR36" s="209">
        <v>25.55</v>
      </c>
      <c r="AS36" s="210"/>
      <c r="AT36" s="210"/>
      <c r="AU36" s="210"/>
      <c r="AV36" s="210"/>
      <c r="AW36" s="240"/>
      <c r="AX36" s="241"/>
      <c r="AY36" s="241"/>
      <c r="AZ36" s="241"/>
      <c r="BA36" s="241"/>
      <c r="BB36" s="241"/>
      <c r="BC36" s="241"/>
      <c r="BD36" s="241"/>
      <c r="BE36" s="209">
        <f>AR36*AW36</f>
        <v>0</v>
      </c>
      <c r="BF36" s="210"/>
      <c r="BG36" s="210"/>
      <c r="BH36" s="210"/>
      <c r="BI36" s="210"/>
      <c r="BJ36" s="210"/>
      <c r="BK36" s="210"/>
      <c r="BL36" s="210"/>
      <c r="BN36" s="135">
        <f t="shared" si="0"/>
        <v>0</v>
      </c>
      <c r="IR36" s="7">
        <f>AW36*0.18012012012012</f>
        <v>0</v>
      </c>
      <c r="IS36" s="7">
        <f>AW36*(1-0.18012012012012)</f>
        <v>0</v>
      </c>
    </row>
    <row r="37" spans="1:253" ht="12.75">
      <c r="A37" s="219" t="s">
        <v>48</v>
      </c>
      <c r="B37" s="220"/>
      <c r="C37" s="219" t="s">
        <v>100</v>
      </c>
      <c r="D37" s="220"/>
      <c r="E37" s="220"/>
      <c r="F37" s="219" t="s">
        <v>149</v>
      </c>
      <c r="G37" s="220"/>
      <c r="H37" s="220"/>
      <c r="I37" s="220"/>
      <c r="J37" s="220"/>
      <c r="K37" s="220"/>
      <c r="L37" s="219" t="s">
        <v>261</v>
      </c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  <c r="AK37" s="220"/>
      <c r="AL37" s="220"/>
      <c r="AM37" s="220"/>
      <c r="AN37" s="220"/>
      <c r="AO37" s="220"/>
      <c r="AP37" s="219" t="s">
        <v>325</v>
      </c>
      <c r="AQ37" s="220"/>
      <c r="AR37" s="221">
        <v>30.66</v>
      </c>
      <c r="AS37" s="222"/>
      <c r="AT37" s="222"/>
      <c r="AU37" s="222"/>
      <c r="AV37" s="222"/>
      <c r="AW37" s="242"/>
      <c r="AX37" s="243"/>
      <c r="AY37" s="243"/>
      <c r="AZ37" s="243"/>
      <c r="BA37" s="243"/>
      <c r="BB37" s="243"/>
      <c r="BC37" s="243"/>
      <c r="BD37" s="243"/>
      <c r="BE37" s="209">
        <f>AR37*AW37</f>
        <v>0</v>
      </c>
      <c r="BF37" s="210"/>
      <c r="BG37" s="210"/>
      <c r="BH37" s="210"/>
      <c r="BI37" s="210"/>
      <c r="BJ37" s="210"/>
      <c r="BK37" s="210"/>
      <c r="BL37" s="210"/>
      <c r="BN37" s="135">
        <f t="shared" si="0"/>
        <v>0</v>
      </c>
      <c r="IR37" s="8">
        <f>AW37*1</f>
        <v>0</v>
      </c>
      <c r="IS37" s="8">
        <f>AW37*(1-1)</f>
        <v>0</v>
      </c>
    </row>
    <row r="38" spans="1:253" ht="12.75">
      <c r="A38" s="207" t="s">
        <v>49</v>
      </c>
      <c r="B38" s="208"/>
      <c r="C38" s="207" t="s">
        <v>100</v>
      </c>
      <c r="D38" s="208"/>
      <c r="E38" s="208"/>
      <c r="F38" s="207" t="s">
        <v>150</v>
      </c>
      <c r="G38" s="208"/>
      <c r="H38" s="208"/>
      <c r="I38" s="208"/>
      <c r="J38" s="208"/>
      <c r="K38" s="208"/>
      <c r="L38" s="207" t="s">
        <v>262</v>
      </c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7" t="s">
        <v>328</v>
      </c>
      <c r="AQ38" s="208"/>
      <c r="AR38" s="209">
        <v>6.8</v>
      </c>
      <c r="AS38" s="210"/>
      <c r="AT38" s="210"/>
      <c r="AU38" s="210"/>
      <c r="AV38" s="210"/>
      <c r="AW38" s="240"/>
      <c r="AX38" s="241"/>
      <c r="AY38" s="241"/>
      <c r="AZ38" s="241"/>
      <c r="BA38" s="241"/>
      <c r="BB38" s="241"/>
      <c r="BC38" s="241"/>
      <c r="BD38" s="241"/>
      <c r="BE38" s="209">
        <f>AR38*AW38</f>
        <v>0</v>
      </c>
      <c r="BF38" s="210"/>
      <c r="BG38" s="210"/>
      <c r="BH38" s="210"/>
      <c r="BI38" s="210"/>
      <c r="BJ38" s="210"/>
      <c r="BK38" s="210"/>
      <c r="BL38" s="210"/>
      <c r="BN38" s="135">
        <f t="shared" si="0"/>
        <v>0</v>
      </c>
      <c r="IR38" s="7">
        <f>AW38*0.0716431924882629</f>
        <v>0</v>
      </c>
      <c r="IS38" s="7">
        <f>AW38*(1-0.0716431924882629)</f>
        <v>0</v>
      </c>
    </row>
    <row r="39" spans="1:253" ht="12.75">
      <c r="A39" s="219" t="s">
        <v>50</v>
      </c>
      <c r="B39" s="220"/>
      <c r="C39" s="219" t="s">
        <v>100</v>
      </c>
      <c r="D39" s="220"/>
      <c r="E39" s="220"/>
      <c r="F39" s="219" t="s">
        <v>151</v>
      </c>
      <c r="G39" s="220"/>
      <c r="H39" s="220"/>
      <c r="I39" s="220"/>
      <c r="J39" s="220"/>
      <c r="K39" s="220"/>
      <c r="L39" s="219" t="s">
        <v>263</v>
      </c>
      <c r="M39" s="220"/>
      <c r="N39" s="220"/>
      <c r="O39" s="220"/>
      <c r="P39" s="220"/>
      <c r="Q39" s="220"/>
      <c r="R39" s="220"/>
      <c r="S39" s="220"/>
      <c r="T39" s="220"/>
      <c r="U39" s="220"/>
      <c r="V39" s="220"/>
      <c r="W39" s="220"/>
      <c r="X39" s="220"/>
      <c r="Y39" s="220"/>
      <c r="Z39" s="220"/>
      <c r="AA39" s="220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0"/>
      <c r="AM39" s="220"/>
      <c r="AN39" s="220"/>
      <c r="AO39" s="220"/>
      <c r="AP39" s="219" t="s">
        <v>329</v>
      </c>
      <c r="AQ39" s="220"/>
      <c r="AR39" s="221">
        <v>16</v>
      </c>
      <c r="AS39" s="222"/>
      <c r="AT39" s="222"/>
      <c r="AU39" s="222"/>
      <c r="AV39" s="222"/>
      <c r="AW39" s="242"/>
      <c r="AX39" s="243"/>
      <c r="AY39" s="243"/>
      <c r="AZ39" s="243"/>
      <c r="BA39" s="243"/>
      <c r="BB39" s="243"/>
      <c r="BC39" s="243"/>
      <c r="BD39" s="243"/>
      <c r="BE39" s="209">
        <f>AR39*AW39</f>
        <v>0</v>
      </c>
      <c r="BF39" s="210"/>
      <c r="BG39" s="210"/>
      <c r="BH39" s="210"/>
      <c r="BI39" s="210"/>
      <c r="BJ39" s="210"/>
      <c r="BK39" s="210"/>
      <c r="BL39" s="210"/>
      <c r="BN39" s="135">
        <f t="shared" si="0"/>
        <v>0</v>
      </c>
      <c r="IR39" s="8">
        <f>AW39*1</f>
        <v>0</v>
      </c>
      <c r="IS39" s="8">
        <f>AW39*(1-1)</f>
        <v>0</v>
      </c>
    </row>
    <row r="40" spans="1:253" ht="12.75">
      <c r="A40" s="207" t="s">
        <v>51</v>
      </c>
      <c r="B40" s="208"/>
      <c r="C40" s="207" t="s">
        <v>100</v>
      </c>
      <c r="D40" s="208"/>
      <c r="E40" s="208"/>
      <c r="F40" s="207" t="s">
        <v>152</v>
      </c>
      <c r="G40" s="208"/>
      <c r="H40" s="208"/>
      <c r="I40" s="208"/>
      <c r="J40" s="208"/>
      <c r="K40" s="208"/>
      <c r="L40" s="207" t="s">
        <v>264</v>
      </c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7" t="s">
        <v>331</v>
      </c>
      <c r="AQ40" s="208"/>
      <c r="AR40" s="209">
        <v>0.75</v>
      </c>
      <c r="AS40" s="210"/>
      <c r="AT40" s="210"/>
      <c r="AU40" s="210"/>
      <c r="AV40" s="210"/>
      <c r="AW40" s="240"/>
      <c r="AX40" s="241"/>
      <c r="AY40" s="241"/>
      <c r="AZ40" s="241"/>
      <c r="BA40" s="241"/>
      <c r="BB40" s="241"/>
      <c r="BC40" s="241"/>
      <c r="BD40" s="241"/>
      <c r="BE40" s="209">
        <f>AR40*AW40</f>
        <v>0</v>
      </c>
      <c r="BF40" s="210"/>
      <c r="BG40" s="210"/>
      <c r="BH40" s="210"/>
      <c r="BI40" s="210"/>
      <c r="BJ40" s="210"/>
      <c r="BK40" s="210"/>
      <c r="BL40" s="210"/>
      <c r="BN40" s="135">
        <f t="shared" si="0"/>
        <v>0</v>
      </c>
      <c r="IR40" s="7">
        <f>AW40*0</f>
        <v>0</v>
      </c>
      <c r="IS40" s="7">
        <f>AW40*(1-0)</f>
        <v>0</v>
      </c>
    </row>
    <row r="41" spans="1:64" ht="12.75">
      <c r="A41" s="202" t="s">
        <v>6</v>
      </c>
      <c r="B41" s="203"/>
      <c r="C41" s="202" t="s">
        <v>6</v>
      </c>
      <c r="D41" s="203"/>
      <c r="E41" s="203"/>
      <c r="F41" s="202" t="s">
        <v>153</v>
      </c>
      <c r="G41" s="203"/>
      <c r="H41" s="203"/>
      <c r="I41" s="203"/>
      <c r="J41" s="203"/>
      <c r="K41" s="203"/>
      <c r="L41" s="202" t="s">
        <v>265</v>
      </c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03"/>
      <c r="AG41" s="203"/>
      <c r="AH41" s="203"/>
      <c r="AI41" s="203"/>
      <c r="AJ41" s="203"/>
      <c r="AK41" s="203"/>
      <c r="AL41" s="203"/>
      <c r="AM41" s="203"/>
      <c r="AN41" s="203"/>
      <c r="AO41" s="203"/>
      <c r="AP41" s="202" t="s">
        <v>6</v>
      </c>
      <c r="AQ41" s="203"/>
      <c r="AR41" s="204" t="s">
        <v>6</v>
      </c>
      <c r="AS41" s="205"/>
      <c r="AT41" s="205"/>
      <c r="AU41" s="205"/>
      <c r="AV41" s="205"/>
      <c r="AW41" s="204" t="s">
        <v>6</v>
      </c>
      <c r="AX41" s="205"/>
      <c r="AY41" s="205"/>
      <c r="AZ41" s="205"/>
      <c r="BA41" s="205"/>
      <c r="BB41" s="205"/>
      <c r="BC41" s="205"/>
      <c r="BD41" s="205"/>
      <c r="BE41" s="206">
        <f>SUM(BE42:BE44)</f>
        <v>0</v>
      </c>
      <c r="BF41" s="205"/>
      <c r="BG41" s="205"/>
      <c r="BH41" s="205"/>
      <c r="BI41" s="205"/>
      <c r="BJ41" s="205"/>
      <c r="BK41" s="205"/>
      <c r="BL41" s="205"/>
    </row>
    <row r="42" spans="1:253" ht="12.75">
      <c r="A42" s="207" t="s">
        <v>52</v>
      </c>
      <c r="B42" s="208"/>
      <c r="C42" s="207" t="s">
        <v>100</v>
      </c>
      <c r="D42" s="208"/>
      <c r="E42" s="208"/>
      <c r="F42" s="207" t="s">
        <v>154</v>
      </c>
      <c r="G42" s="208"/>
      <c r="H42" s="208"/>
      <c r="I42" s="208"/>
      <c r="J42" s="208"/>
      <c r="K42" s="208"/>
      <c r="L42" s="207" t="s">
        <v>266</v>
      </c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7" t="s">
        <v>325</v>
      </c>
      <c r="AQ42" s="208"/>
      <c r="AR42" s="209">
        <v>80.99</v>
      </c>
      <c r="AS42" s="210"/>
      <c r="AT42" s="210"/>
      <c r="AU42" s="210"/>
      <c r="AV42" s="210"/>
      <c r="AW42" s="240"/>
      <c r="AX42" s="241"/>
      <c r="AY42" s="241"/>
      <c r="AZ42" s="241"/>
      <c r="BA42" s="241"/>
      <c r="BB42" s="241"/>
      <c r="BC42" s="241"/>
      <c r="BD42" s="241"/>
      <c r="BE42" s="209">
        <f>AR42*AW42</f>
        <v>0</v>
      </c>
      <c r="BF42" s="210"/>
      <c r="BG42" s="210"/>
      <c r="BH42" s="210"/>
      <c r="BI42" s="210"/>
      <c r="BJ42" s="210"/>
      <c r="BK42" s="210"/>
      <c r="BL42" s="210"/>
      <c r="BN42" s="135">
        <f t="shared" si="0"/>
        <v>0</v>
      </c>
      <c r="IR42" s="7">
        <f>AW42*0.132348993288591</f>
        <v>0</v>
      </c>
      <c r="IS42" s="7">
        <f>AW42*(1-0.132348993288591)</f>
        <v>0</v>
      </c>
    </row>
    <row r="43" spans="1:253" ht="12.75">
      <c r="A43" s="219" t="s">
        <v>53</v>
      </c>
      <c r="B43" s="220"/>
      <c r="C43" s="219" t="s">
        <v>100</v>
      </c>
      <c r="D43" s="220"/>
      <c r="E43" s="220"/>
      <c r="F43" s="219" t="s">
        <v>155</v>
      </c>
      <c r="G43" s="220"/>
      <c r="H43" s="220"/>
      <c r="I43" s="220"/>
      <c r="J43" s="220"/>
      <c r="K43" s="220"/>
      <c r="L43" s="219" t="s">
        <v>267</v>
      </c>
      <c r="M43" s="220"/>
      <c r="N43" s="220"/>
      <c r="O43" s="220"/>
      <c r="P43" s="220"/>
      <c r="Q43" s="220"/>
      <c r="R43" s="220"/>
      <c r="S43" s="220"/>
      <c r="T43" s="220"/>
      <c r="U43" s="220"/>
      <c r="V43" s="220"/>
      <c r="W43" s="220"/>
      <c r="X43" s="220"/>
      <c r="Y43" s="220"/>
      <c r="Z43" s="220"/>
      <c r="AA43" s="220"/>
      <c r="AB43" s="220"/>
      <c r="AC43" s="220"/>
      <c r="AD43" s="220"/>
      <c r="AE43" s="220"/>
      <c r="AF43" s="220"/>
      <c r="AG43" s="220"/>
      <c r="AH43" s="220"/>
      <c r="AI43" s="220"/>
      <c r="AJ43" s="220"/>
      <c r="AK43" s="220"/>
      <c r="AL43" s="220"/>
      <c r="AM43" s="220"/>
      <c r="AN43" s="220"/>
      <c r="AO43" s="220"/>
      <c r="AP43" s="219" t="s">
        <v>325</v>
      </c>
      <c r="AQ43" s="220"/>
      <c r="AR43" s="221">
        <v>97.19</v>
      </c>
      <c r="AS43" s="222"/>
      <c r="AT43" s="222"/>
      <c r="AU43" s="222"/>
      <c r="AV43" s="222"/>
      <c r="AW43" s="242"/>
      <c r="AX43" s="243"/>
      <c r="AY43" s="243"/>
      <c r="AZ43" s="243"/>
      <c r="BA43" s="243"/>
      <c r="BB43" s="243"/>
      <c r="BC43" s="243"/>
      <c r="BD43" s="243"/>
      <c r="BE43" s="209">
        <f>AR43*AW43</f>
        <v>0</v>
      </c>
      <c r="BF43" s="210"/>
      <c r="BG43" s="210"/>
      <c r="BH43" s="210"/>
      <c r="BI43" s="210"/>
      <c r="BJ43" s="210"/>
      <c r="BK43" s="210"/>
      <c r="BL43" s="210"/>
      <c r="BN43" s="135">
        <f t="shared" si="0"/>
        <v>0</v>
      </c>
      <c r="IR43" s="8">
        <f>AW43*1</f>
        <v>0</v>
      </c>
      <c r="IS43" s="8">
        <f>AW43*(1-1)</f>
        <v>0</v>
      </c>
    </row>
    <row r="44" spans="1:253" ht="12.75">
      <c r="A44" s="207" t="s">
        <v>54</v>
      </c>
      <c r="B44" s="208"/>
      <c r="C44" s="207" t="s">
        <v>100</v>
      </c>
      <c r="D44" s="208"/>
      <c r="E44" s="208"/>
      <c r="F44" s="207" t="s">
        <v>156</v>
      </c>
      <c r="G44" s="208"/>
      <c r="H44" s="208"/>
      <c r="I44" s="208"/>
      <c r="J44" s="208"/>
      <c r="K44" s="208"/>
      <c r="L44" s="207" t="s">
        <v>268</v>
      </c>
      <c r="M44" s="208"/>
      <c r="N44" s="208"/>
      <c r="O44" s="208"/>
      <c r="P44" s="208"/>
      <c r="Q44" s="208"/>
      <c r="R44" s="208"/>
      <c r="S44" s="208"/>
      <c r="T44" s="208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7" t="s">
        <v>331</v>
      </c>
      <c r="AQ44" s="208"/>
      <c r="AR44" s="209">
        <v>1.35</v>
      </c>
      <c r="AS44" s="210"/>
      <c r="AT44" s="210"/>
      <c r="AU44" s="210"/>
      <c r="AV44" s="210"/>
      <c r="AW44" s="240"/>
      <c r="AX44" s="241"/>
      <c r="AY44" s="241"/>
      <c r="AZ44" s="241"/>
      <c r="BA44" s="241"/>
      <c r="BB44" s="241"/>
      <c r="BC44" s="241"/>
      <c r="BD44" s="241"/>
      <c r="BE44" s="209">
        <f>AR44*AW44</f>
        <v>0</v>
      </c>
      <c r="BF44" s="210"/>
      <c r="BG44" s="210"/>
      <c r="BH44" s="210"/>
      <c r="BI44" s="210"/>
      <c r="BJ44" s="210"/>
      <c r="BK44" s="210"/>
      <c r="BL44" s="210"/>
      <c r="BN44" s="135">
        <f t="shared" si="0"/>
        <v>0</v>
      </c>
      <c r="IR44" s="7">
        <f>AW44*0</f>
        <v>0</v>
      </c>
      <c r="IS44" s="7">
        <f>AW44*(1-0)</f>
        <v>0</v>
      </c>
    </row>
    <row r="45" spans="1:64" ht="12.75">
      <c r="A45" s="202" t="s">
        <v>6</v>
      </c>
      <c r="B45" s="203"/>
      <c r="C45" s="202" t="s">
        <v>6</v>
      </c>
      <c r="D45" s="203"/>
      <c r="E45" s="203"/>
      <c r="F45" s="202" t="s">
        <v>157</v>
      </c>
      <c r="G45" s="203"/>
      <c r="H45" s="203"/>
      <c r="I45" s="203"/>
      <c r="J45" s="203"/>
      <c r="K45" s="203"/>
      <c r="L45" s="202" t="s">
        <v>269</v>
      </c>
      <c r="M45" s="203"/>
      <c r="N45" s="203"/>
      <c r="O45" s="203"/>
      <c r="P45" s="203"/>
      <c r="Q45" s="203"/>
      <c r="R45" s="203"/>
      <c r="S45" s="203"/>
      <c r="T45" s="203"/>
      <c r="U45" s="203"/>
      <c r="V45" s="203"/>
      <c r="W45" s="203"/>
      <c r="X45" s="203"/>
      <c r="Y45" s="203"/>
      <c r="Z45" s="203"/>
      <c r="AA45" s="203"/>
      <c r="AB45" s="203"/>
      <c r="AC45" s="203"/>
      <c r="AD45" s="203"/>
      <c r="AE45" s="203"/>
      <c r="AF45" s="203"/>
      <c r="AG45" s="203"/>
      <c r="AH45" s="203"/>
      <c r="AI45" s="203"/>
      <c r="AJ45" s="203"/>
      <c r="AK45" s="203"/>
      <c r="AL45" s="203"/>
      <c r="AM45" s="203"/>
      <c r="AN45" s="203"/>
      <c r="AO45" s="203"/>
      <c r="AP45" s="202" t="s">
        <v>6</v>
      </c>
      <c r="AQ45" s="203"/>
      <c r="AR45" s="204" t="s">
        <v>6</v>
      </c>
      <c r="AS45" s="205"/>
      <c r="AT45" s="205"/>
      <c r="AU45" s="205"/>
      <c r="AV45" s="205"/>
      <c r="AW45" s="204" t="s">
        <v>6</v>
      </c>
      <c r="AX45" s="205"/>
      <c r="AY45" s="205"/>
      <c r="AZ45" s="205"/>
      <c r="BA45" s="205"/>
      <c r="BB45" s="205"/>
      <c r="BC45" s="205"/>
      <c r="BD45" s="205"/>
      <c r="BE45" s="206">
        <f>SUM(BE46:BE47)</f>
        <v>0</v>
      </c>
      <c r="BF45" s="205"/>
      <c r="BG45" s="205"/>
      <c r="BH45" s="205"/>
      <c r="BI45" s="205"/>
      <c r="BJ45" s="205"/>
      <c r="BK45" s="205"/>
      <c r="BL45" s="205"/>
    </row>
    <row r="46" spans="1:253" ht="12.75">
      <c r="A46" s="207" t="s">
        <v>55</v>
      </c>
      <c r="B46" s="208"/>
      <c r="C46" s="207" t="s">
        <v>100</v>
      </c>
      <c r="D46" s="208"/>
      <c r="E46" s="208"/>
      <c r="F46" s="207" t="s">
        <v>158</v>
      </c>
      <c r="G46" s="208"/>
      <c r="H46" s="208"/>
      <c r="I46" s="208"/>
      <c r="J46" s="208"/>
      <c r="K46" s="208"/>
      <c r="L46" s="207" t="s">
        <v>270</v>
      </c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7" t="s">
        <v>325</v>
      </c>
      <c r="AQ46" s="208"/>
      <c r="AR46" s="209">
        <v>91.12</v>
      </c>
      <c r="AS46" s="210"/>
      <c r="AT46" s="210"/>
      <c r="AU46" s="210"/>
      <c r="AV46" s="210"/>
      <c r="AW46" s="240"/>
      <c r="AX46" s="241"/>
      <c r="AY46" s="241"/>
      <c r="AZ46" s="241"/>
      <c r="BA46" s="241"/>
      <c r="BB46" s="241"/>
      <c r="BC46" s="241"/>
      <c r="BD46" s="241"/>
      <c r="BE46" s="209">
        <f>AR46*AW46</f>
        <v>0</v>
      </c>
      <c r="BF46" s="210"/>
      <c r="BG46" s="210"/>
      <c r="BH46" s="210"/>
      <c r="BI46" s="210"/>
      <c r="BJ46" s="210"/>
      <c r="BK46" s="210"/>
      <c r="BL46" s="210"/>
      <c r="BN46" s="135">
        <f t="shared" si="0"/>
        <v>0</v>
      </c>
      <c r="IR46" s="7">
        <f>AW46*0.195757575757576</f>
        <v>0</v>
      </c>
      <c r="IS46" s="7">
        <f>AW46*(1-0.195757575757576)</f>
        <v>0</v>
      </c>
    </row>
    <row r="47" spans="1:253" ht="12.75">
      <c r="A47" s="207" t="s">
        <v>56</v>
      </c>
      <c r="B47" s="208"/>
      <c r="C47" s="207" t="s">
        <v>100</v>
      </c>
      <c r="D47" s="208"/>
      <c r="E47" s="208"/>
      <c r="F47" s="207" t="s">
        <v>159</v>
      </c>
      <c r="G47" s="208"/>
      <c r="H47" s="208"/>
      <c r="I47" s="208"/>
      <c r="J47" s="208"/>
      <c r="K47" s="208"/>
      <c r="L47" s="207" t="s">
        <v>271</v>
      </c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7" t="s">
        <v>325</v>
      </c>
      <c r="AQ47" s="208"/>
      <c r="AR47" s="209">
        <v>91.12</v>
      </c>
      <c r="AS47" s="210"/>
      <c r="AT47" s="210"/>
      <c r="AU47" s="210"/>
      <c r="AV47" s="210"/>
      <c r="AW47" s="240"/>
      <c r="AX47" s="241"/>
      <c r="AY47" s="241"/>
      <c r="AZ47" s="241"/>
      <c r="BA47" s="241"/>
      <c r="BB47" s="241"/>
      <c r="BC47" s="241"/>
      <c r="BD47" s="241"/>
      <c r="BE47" s="209">
        <f>AR47*AW47</f>
        <v>0</v>
      </c>
      <c r="BF47" s="210"/>
      <c r="BG47" s="210"/>
      <c r="BH47" s="210"/>
      <c r="BI47" s="210"/>
      <c r="BJ47" s="210"/>
      <c r="BK47" s="210"/>
      <c r="BL47" s="210"/>
      <c r="BN47" s="135">
        <f t="shared" si="0"/>
        <v>0</v>
      </c>
      <c r="IR47" s="7">
        <f>AW47*0.11468253968254</f>
        <v>0</v>
      </c>
      <c r="IS47" s="7">
        <f>AW47*(1-0.11468253968254)</f>
        <v>0</v>
      </c>
    </row>
    <row r="48" spans="1:64" ht="12.75">
      <c r="A48" s="202" t="s">
        <v>6</v>
      </c>
      <c r="B48" s="203"/>
      <c r="C48" s="202" t="s">
        <v>6</v>
      </c>
      <c r="D48" s="203"/>
      <c r="E48" s="203"/>
      <c r="F48" s="202" t="s">
        <v>160</v>
      </c>
      <c r="G48" s="203"/>
      <c r="H48" s="203"/>
      <c r="I48" s="203"/>
      <c r="J48" s="203"/>
      <c r="K48" s="203"/>
      <c r="L48" s="202" t="s">
        <v>272</v>
      </c>
      <c r="M48" s="203"/>
      <c r="N48" s="203"/>
      <c r="O48" s="203"/>
      <c r="P48" s="203"/>
      <c r="Q48" s="203"/>
      <c r="R48" s="203"/>
      <c r="S48" s="203"/>
      <c r="T48" s="203"/>
      <c r="U48" s="203"/>
      <c r="V48" s="203"/>
      <c r="W48" s="203"/>
      <c r="X48" s="203"/>
      <c r="Y48" s="203"/>
      <c r="Z48" s="203"/>
      <c r="AA48" s="203"/>
      <c r="AB48" s="203"/>
      <c r="AC48" s="203"/>
      <c r="AD48" s="203"/>
      <c r="AE48" s="203"/>
      <c r="AF48" s="203"/>
      <c r="AG48" s="203"/>
      <c r="AH48" s="203"/>
      <c r="AI48" s="203"/>
      <c r="AJ48" s="203"/>
      <c r="AK48" s="203"/>
      <c r="AL48" s="203"/>
      <c r="AM48" s="203"/>
      <c r="AN48" s="203"/>
      <c r="AO48" s="203"/>
      <c r="AP48" s="202" t="s">
        <v>6</v>
      </c>
      <c r="AQ48" s="203"/>
      <c r="AR48" s="204" t="s">
        <v>6</v>
      </c>
      <c r="AS48" s="205"/>
      <c r="AT48" s="205"/>
      <c r="AU48" s="205"/>
      <c r="AV48" s="205"/>
      <c r="AW48" s="204" t="s">
        <v>6</v>
      </c>
      <c r="AX48" s="205"/>
      <c r="AY48" s="205"/>
      <c r="AZ48" s="205"/>
      <c r="BA48" s="205"/>
      <c r="BB48" s="205"/>
      <c r="BC48" s="205"/>
      <c r="BD48" s="205"/>
      <c r="BE48" s="206">
        <f>SUM(BE49:BE49)</f>
        <v>0</v>
      </c>
      <c r="BF48" s="205"/>
      <c r="BG48" s="205"/>
      <c r="BH48" s="205"/>
      <c r="BI48" s="205"/>
      <c r="BJ48" s="205"/>
      <c r="BK48" s="205"/>
      <c r="BL48" s="205"/>
    </row>
    <row r="49" spans="1:253" ht="12.75">
      <c r="A49" s="207" t="s">
        <v>57</v>
      </c>
      <c r="B49" s="208"/>
      <c r="C49" s="207" t="s">
        <v>100</v>
      </c>
      <c r="D49" s="208"/>
      <c r="E49" s="208"/>
      <c r="F49" s="207" t="s">
        <v>161</v>
      </c>
      <c r="G49" s="208"/>
      <c r="H49" s="208"/>
      <c r="I49" s="208"/>
      <c r="J49" s="208"/>
      <c r="K49" s="208"/>
      <c r="L49" s="207" t="s">
        <v>273</v>
      </c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7" t="s">
        <v>325</v>
      </c>
      <c r="AQ49" s="208"/>
      <c r="AR49" s="209">
        <v>30.15</v>
      </c>
      <c r="AS49" s="210"/>
      <c r="AT49" s="210"/>
      <c r="AU49" s="210"/>
      <c r="AV49" s="210"/>
      <c r="AW49" s="240"/>
      <c r="AX49" s="241"/>
      <c r="AY49" s="241"/>
      <c r="AZ49" s="241"/>
      <c r="BA49" s="241"/>
      <c r="BB49" s="241"/>
      <c r="BC49" s="241"/>
      <c r="BD49" s="241"/>
      <c r="BE49" s="209">
        <f>AR49*AW49</f>
        <v>0</v>
      </c>
      <c r="BF49" s="210"/>
      <c r="BG49" s="210"/>
      <c r="BH49" s="210"/>
      <c r="BI49" s="210"/>
      <c r="BJ49" s="210"/>
      <c r="BK49" s="210"/>
      <c r="BL49" s="210"/>
      <c r="BN49" s="135">
        <f t="shared" si="0"/>
        <v>0</v>
      </c>
      <c r="IR49" s="7">
        <f>AW49*0.392365145228216</f>
        <v>0</v>
      </c>
      <c r="IS49" s="7">
        <f>AW49*(1-0.392365145228216)</f>
        <v>0</v>
      </c>
    </row>
    <row r="50" spans="1:64" ht="12.75">
      <c r="A50" s="202" t="s">
        <v>6</v>
      </c>
      <c r="B50" s="203"/>
      <c r="C50" s="202" t="s">
        <v>6</v>
      </c>
      <c r="D50" s="203"/>
      <c r="E50" s="203"/>
      <c r="F50" s="202" t="s">
        <v>103</v>
      </c>
      <c r="G50" s="203"/>
      <c r="H50" s="203"/>
      <c r="I50" s="203"/>
      <c r="J50" s="203"/>
      <c r="K50" s="203"/>
      <c r="L50" s="202" t="s">
        <v>208</v>
      </c>
      <c r="M50" s="203"/>
      <c r="N50" s="203"/>
      <c r="O50" s="203"/>
      <c r="P50" s="203"/>
      <c r="Q50" s="203"/>
      <c r="R50" s="203"/>
      <c r="S50" s="203"/>
      <c r="T50" s="203"/>
      <c r="U50" s="203"/>
      <c r="V50" s="203"/>
      <c r="W50" s="203"/>
      <c r="X50" s="203"/>
      <c r="Y50" s="203"/>
      <c r="Z50" s="203"/>
      <c r="AA50" s="203"/>
      <c r="AB50" s="203"/>
      <c r="AC50" s="203"/>
      <c r="AD50" s="203"/>
      <c r="AE50" s="203"/>
      <c r="AF50" s="203"/>
      <c r="AG50" s="203"/>
      <c r="AH50" s="203"/>
      <c r="AI50" s="203"/>
      <c r="AJ50" s="203"/>
      <c r="AK50" s="203"/>
      <c r="AL50" s="203"/>
      <c r="AM50" s="203"/>
      <c r="AN50" s="203"/>
      <c r="AO50" s="203"/>
      <c r="AP50" s="202" t="s">
        <v>6</v>
      </c>
      <c r="AQ50" s="203"/>
      <c r="AR50" s="204" t="s">
        <v>6</v>
      </c>
      <c r="AS50" s="205"/>
      <c r="AT50" s="205"/>
      <c r="AU50" s="205"/>
      <c r="AV50" s="205"/>
      <c r="AW50" s="204" t="s">
        <v>6</v>
      </c>
      <c r="AX50" s="205"/>
      <c r="AY50" s="205"/>
      <c r="AZ50" s="205"/>
      <c r="BA50" s="205"/>
      <c r="BB50" s="205"/>
      <c r="BC50" s="205"/>
      <c r="BD50" s="205"/>
      <c r="BE50" s="206">
        <f>SUM(BE51:BE51)</f>
        <v>0</v>
      </c>
      <c r="BF50" s="205"/>
      <c r="BG50" s="205"/>
      <c r="BH50" s="205"/>
      <c r="BI50" s="205"/>
      <c r="BJ50" s="205"/>
      <c r="BK50" s="205"/>
      <c r="BL50" s="205"/>
    </row>
    <row r="51" spans="1:253" ht="12.75">
      <c r="A51" s="207" t="s">
        <v>58</v>
      </c>
      <c r="B51" s="208"/>
      <c r="C51" s="207" t="s">
        <v>100</v>
      </c>
      <c r="D51" s="208"/>
      <c r="E51" s="208"/>
      <c r="F51" s="207" t="s">
        <v>104</v>
      </c>
      <c r="G51" s="208"/>
      <c r="H51" s="208"/>
      <c r="I51" s="208"/>
      <c r="J51" s="208"/>
      <c r="K51" s="208"/>
      <c r="L51" s="207" t="s">
        <v>274</v>
      </c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7" t="s">
        <v>325</v>
      </c>
      <c r="AQ51" s="208"/>
      <c r="AR51" s="209">
        <v>30.15</v>
      </c>
      <c r="AS51" s="210"/>
      <c r="AT51" s="210"/>
      <c r="AU51" s="210"/>
      <c r="AV51" s="210"/>
      <c r="AW51" s="240"/>
      <c r="AX51" s="241"/>
      <c r="AY51" s="241"/>
      <c r="AZ51" s="241"/>
      <c r="BA51" s="241"/>
      <c r="BB51" s="241"/>
      <c r="BC51" s="241"/>
      <c r="BD51" s="241"/>
      <c r="BE51" s="209">
        <f>AR51*AW51</f>
        <v>0</v>
      </c>
      <c r="BF51" s="210"/>
      <c r="BG51" s="210"/>
      <c r="BH51" s="210"/>
      <c r="BI51" s="210"/>
      <c r="BJ51" s="210"/>
      <c r="BK51" s="210"/>
      <c r="BL51" s="210"/>
      <c r="BN51" s="135">
        <f t="shared" si="0"/>
        <v>0</v>
      </c>
      <c r="IR51" s="7">
        <f>AW51*0.0144264252313203</f>
        <v>0</v>
      </c>
      <c r="IS51" s="7">
        <f>AW51*(1-0.0144264252313203)</f>
        <v>0</v>
      </c>
    </row>
    <row r="52" spans="1:64" ht="12.75">
      <c r="A52" s="202" t="s">
        <v>6</v>
      </c>
      <c r="B52" s="203"/>
      <c r="C52" s="202" t="s">
        <v>6</v>
      </c>
      <c r="D52" s="203"/>
      <c r="E52" s="203"/>
      <c r="F52" s="202" t="s">
        <v>162</v>
      </c>
      <c r="G52" s="203"/>
      <c r="H52" s="203"/>
      <c r="I52" s="203"/>
      <c r="J52" s="203"/>
      <c r="K52" s="203"/>
      <c r="L52" s="202" t="s">
        <v>275</v>
      </c>
      <c r="M52" s="203"/>
      <c r="N52" s="203"/>
      <c r="O52" s="203"/>
      <c r="P52" s="203"/>
      <c r="Q52" s="203"/>
      <c r="R52" s="203"/>
      <c r="S52" s="203"/>
      <c r="T52" s="203"/>
      <c r="U52" s="203"/>
      <c r="V52" s="203"/>
      <c r="W52" s="203"/>
      <c r="X52" s="203"/>
      <c r="Y52" s="203"/>
      <c r="Z52" s="203"/>
      <c r="AA52" s="203"/>
      <c r="AB52" s="203"/>
      <c r="AC52" s="203"/>
      <c r="AD52" s="203"/>
      <c r="AE52" s="203"/>
      <c r="AF52" s="203"/>
      <c r="AG52" s="203"/>
      <c r="AH52" s="203"/>
      <c r="AI52" s="203"/>
      <c r="AJ52" s="203"/>
      <c r="AK52" s="203"/>
      <c r="AL52" s="203"/>
      <c r="AM52" s="203"/>
      <c r="AN52" s="203"/>
      <c r="AO52" s="203"/>
      <c r="AP52" s="202" t="s">
        <v>6</v>
      </c>
      <c r="AQ52" s="203"/>
      <c r="AR52" s="204" t="s">
        <v>6</v>
      </c>
      <c r="AS52" s="205"/>
      <c r="AT52" s="205"/>
      <c r="AU52" s="205"/>
      <c r="AV52" s="205"/>
      <c r="AW52" s="204" t="s">
        <v>6</v>
      </c>
      <c r="AX52" s="205"/>
      <c r="AY52" s="205"/>
      <c r="AZ52" s="205"/>
      <c r="BA52" s="205"/>
      <c r="BB52" s="205"/>
      <c r="BC52" s="205"/>
      <c r="BD52" s="205"/>
      <c r="BE52" s="206">
        <f>SUM(BE53:BE53)</f>
        <v>0</v>
      </c>
      <c r="BF52" s="205"/>
      <c r="BG52" s="205"/>
      <c r="BH52" s="205"/>
      <c r="BI52" s="205"/>
      <c r="BJ52" s="205"/>
      <c r="BK52" s="205"/>
      <c r="BL52" s="205"/>
    </row>
    <row r="53" spans="1:253" ht="12.75">
      <c r="A53" s="207" t="s">
        <v>59</v>
      </c>
      <c r="B53" s="208"/>
      <c r="C53" s="207" t="s">
        <v>100</v>
      </c>
      <c r="D53" s="208"/>
      <c r="E53" s="208"/>
      <c r="F53" s="207" t="s">
        <v>163</v>
      </c>
      <c r="G53" s="208"/>
      <c r="H53" s="208"/>
      <c r="I53" s="208"/>
      <c r="J53" s="208"/>
      <c r="K53" s="208"/>
      <c r="L53" s="207" t="s">
        <v>276</v>
      </c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7" t="s">
        <v>331</v>
      </c>
      <c r="AQ53" s="208"/>
      <c r="AR53" s="209">
        <v>8.85</v>
      </c>
      <c r="AS53" s="210"/>
      <c r="AT53" s="210"/>
      <c r="AU53" s="210"/>
      <c r="AV53" s="210"/>
      <c r="AW53" s="240"/>
      <c r="AX53" s="241"/>
      <c r="AY53" s="241"/>
      <c r="AZ53" s="241"/>
      <c r="BA53" s="241"/>
      <c r="BB53" s="241"/>
      <c r="BC53" s="241"/>
      <c r="BD53" s="241"/>
      <c r="BE53" s="209">
        <f>AR53*AW53</f>
        <v>0</v>
      </c>
      <c r="BF53" s="210"/>
      <c r="BG53" s="210"/>
      <c r="BH53" s="210"/>
      <c r="BI53" s="210"/>
      <c r="BJ53" s="210"/>
      <c r="BK53" s="210"/>
      <c r="BL53" s="210"/>
      <c r="BN53" s="135">
        <f t="shared" si="0"/>
        <v>0</v>
      </c>
      <c r="IR53" s="7">
        <f>AW53*0</f>
        <v>0</v>
      </c>
      <c r="IS53" s="7">
        <f>AW53*(1-0)</f>
        <v>0</v>
      </c>
    </row>
    <row r="55" spans="49:66" ht="12.75">
      <c r="AW55" s="211" t="s">
        <v>339</v>
      </c>
      <c r="AX55" s="155"/>
      <c r="AY55" s="155"/>
      <c r="AZ55" s="155"/>
      <c r="BA55" s="155"/>
      <c r="BB55" s="155"/>
      <c r="BC55" s="155"/>
      <c r="BD55" s="155"/>
      <c r="BE55" s="212">
        <f>BE52+BE50+BE48+BE45+BE41+BE35+BE32+BE29+BE25+BE20+BE18+BE15+BE12</f>
        <v>0</v>
      </c>
      <c r="BF55" s="213"/>
      <c r="BG55" s="213"/>
      <c r="BH55" s="213"/>
      <c r="BI55" s="213"/>
      <c r="BJ55" s="213"/>
      <c r="BK55" s="213"/>
      <c r="BL55" s="213"/>
      <c r="BN55" s="135">
        <f>SUM(BN13:BN53)</f>
        <v>0</v>
      </c>
    </row>
  </sheetData>
  <sheetProtection sheet="1"/>
  <mergeCells count="379">
    <mergeCell ref="AW55:BD55"/>
    <mergeCell ref="BE55:BL55"/>
    <mergeCell ref="AW52:BD52"/>
    <mergeCell ref="BE52:BL52"/>
    <mergeCell ref="A53:B53"/>
    <mergeCell ref="C53:E53"/>
    <mergeCell ref="F53:K53"/>
    <mergeCell ref="L53:AO53"/>
    <mergeCell ref="AP53:AQ53"/>
    <mergeCell ref="AR53:AV53"/>
    <mergeCell ref="AW53:BD53"/>
    <mergeCell ref="BE53:BL53"/>
    <mergeCell ref="A52:B52"/>
    <mergeCell ref="C52:E52"/>
    <mergeCell ref="F52:K52"/>
    <mergeCell ref="L52:AO52"/>
    <mergeCell ref="AP52:AQ52"/>
    <mergeCell ref="AR52:AV52"/>
    <mergeCell ref="AW50:BD50"/>
    <mergeCell ref="BE50:BL50"/>
    <mergeCell ref="A51:B51"/>
    <mergeCell ref="C51:E51"/>
    <mergeCell ref="F51:K51"/>
    <mergeCell ref="L51:AO51"/>
    <mergeCell ref="AP51:AQ51"/>
    <mergeCell ref="AR51:AV51"/>
    <mergeCell ref="AW51:BD51"/>
    <mergeCell ref="BE51:BL51"/>
    <mergeCell ref="A50:B50"/>
    <mergeCell ref="C50:E50"/>
    <mergeCell ref="F50:K50"/>
    <mergeCell ref="L50:AO50"/>
    <mergeCell ref="AP50:AQ50"/>
    <mergeCell ref="AR50:AV50"/>
    <mergeCell ref="AW48:BD48"/>
    <mergeCell ref="BE48:BL48"/>
    <mergeCell ref="A49:B49"/>
    <mergeCell ref="C49:E49"/>
    <mergeCell ref="F49:K49"/>
    <mergeCell ref="L49:AO49"/>
    <mergeCell ref="AP49:AQ49"/>
    <mergeCell ref="AR49:AV49"/>
    <mergeCell ref="AW49:BD49"/>
    <mergeCell ref="BE49:BL49"/>
    <mergeCell ref="A48:B48"/>
    <mergeCell ref="C48:E48"/>
    <mergeCell ref="F48:K48"/>
    <mergeCell ref="L48:AO48"/>
    <mergeCell ref="AP48:AQ48"/>
    <mergeCell ref="AR48:AV48"/>
    <mergeCell ref="AW46:BD46"/>
    <mergeCell ref="BE46:BL46"/>
    <mergeCell ref="A47:B47"/>
    <mergeCell ref="C47:E47"/>
    <mergeCell ref="F47:K47"/>
    <mergeCell ref="L47:AO47"/>
    <mergeCell ref="AP47:AQ47"/>
    <mergeCell ref="AR47:AV47"/>
    <mergeCell ref="AW47:BD47"/>
    <mergeCell ref="BE47:BL47"/>
    <mergeCell ref="A46:B46"/>
    <mergeCell ref="C46:E46"/>
    <mergeCell ref="F46:K46"/>
    <mergeCell ref="L46:AO46"/>
    <mergeCell ref="AP46:AQ46"/>
    <mergeCell ref="AR46:AV46"/>
    <mergeCell ref="AW44:BD44"/>
    <mergeCell ref="BE44:BL44"/>
    <mergeCell ref="A45:B45"/>
    <mergeCell ref="C45:E45"/>
    <mergeCell ref="F45:K45"/>
    <mergeCell ref="L45:AO45"/>
    <mergeCell ref="AP45:AQ45"/>
    <mergeCell ref="AR45:AV45"/>
    <mergeCell ref="AW45:BD45"/>
    <mergeCell ref="BE45:BL45"/>
    <mergeCell ref="A44:B44"/>
    <mergeCell ref="C44:E44"/>
    <mergeCell ref="F44:K44"/>
    <mergeCell ref="L44:AO44"/>
    <mergeCell ref="AP44:AQ44"/>
    <mergeCell ref="AR44:AV44"/>
    <mergeCell ref="AW42:BD42"/>
    <mergeCell ref="BE42:BL42"/>
    <mergeCell ref="A43:B43"/>
    <mergeCell ref="C43:E43"/>
    <mergeCell ref="F43:K43"/>
    <mergeCell ref="L43:AO43"/>
    <mergeCell ref="AP43:AQ43"/>
    <mergeCell ref="AR43:AV43"/>
    <mergeCell ref="AW43:BD43"/>
    <mergeCell ref="BE43:BL43"/>
    <mergeCell ref="A42:B42"/>
    <mergeCell ref="C42:E42"/>
    <mergeCell ref="F42:K42"/>
    <mergeCell ref="L42:AO42"/>
    <mergeCell ref="AP42:AQ42"/>
    <mergeCell ref="AR42:AV42"/>
    <mergeCell ref="AW40:BD40"/>
    <mergeCell ref="BE40:BL40"/>
    <mergeCell ref="A41:B41"/>
    <mergeCell ref="C41:E41"/>
    <mergeCell ref="F41:K41"/>
    <mergeCell ref="L41:AO41"/>
    <mergeCell ref="AP41:AQ41"/>
    <mergeCell ref="AR41:AV41"/>
    <mergeCell ref="AW41:BD41"/>
    <mergeCell ref="BE41:BL41"/>
    <mergeCell ref="A40:B40"/>
    <mergeCell ref="C40:E40"/>
    <mergeCell ref="F40:K40"/>
    <mergeCell ref="L40:AO40"/>
    <mergeCell ref="AP40:AQ40"/>
    <mergeCell ref="AR40:AV40"/>
    <mergeCell ref="AW38:BD38"/>
    <mergeCell ref="BE38:BL38"/>
    <mergeCell ref="A39:B39"/>
    <mergeCell ref="C39:E39"/>
    <mergeCell ref="F39:K39"/>
    <mergeCell ref="L39:AO39"/>
    <mergeCell ref="AP39:AQ39"/>
    <mergeCell ref="AR39:AV39"/>
    <mergeCell ref="AW39:BD39"/>
    <mergeCell ref="BE39:BL39"/>
    <mergeCell ref="A38:B38"/>
    <mergeCell ref="C38:E38"/>
    <mergeCell ref="F38:K38"/>
    <mergeCell ref="L38:AO38"/>
    <mergeCell ref="AP38:AQ38"/>
    <mergeCell ref="AR38:AV38"/>
    <mergeCell ref="AW36:BD36"/>
    <mergeCell ref="BE36:BL36"/>
    <mergeCell ref="A37:B37"/>
    <mergeCell ref="C37:E37"/>
    <mergeCell ref="F37:K37"/>
    <mergeCell ref="L37:AO37"/>
    <mergeCell ref="AP37:AQ37"/>
    <mergeCell ref="AR37:AV37"/>
    <mergeCell ref="AW37:BD37"/>
    <mergeCell ref="BE37:BL37"/>
    <mergeCell ref="A36:B36"/>
    <mergeCell ref="C36:E36"/>
    <mergeCell ref="F36:K36"/>
    <mergeCell ref="L36:AO36"/>
    <mergeCell ref="AP36:AQ36"/>
    <mergeCell ref="AR36:AV36"/>
    <mergeCell ref="AW34:BD34"/>
    <mergeCell ref="BE34:BL34"/>
    <mergeCell ref="A35:B35"/>
    <mergeCell ref="C35:E35"/>
    <mergeCell ref="F35:K35"/>
    <mergeCell ref="L35:AO35"/>
    <mergeCell ref="AP35:AQ35"/>
    <mergeCell ref="AR35:AV35"/>
    <mergeCell ref="AW35:BD35"/>
    <mergeCell ref="BE35:BL35"/>
    <mergeCell ref="A34:B34"/>
    <mergeCell ref="C34:E34"/>
    <mergeCell ref="F34:K34"/>
    <mergeCell ref="L34:AO34"/>
    <mergeCell ref="AP34:AQ34"/>
    <mergeCell ref="AR34:AV34"/>
    <mergeCell ref="AW32:BD32"/>
    <mergeCell ref="BE32:BL32"/>
    <mergeCell ref="A33:B33"/>
    <mergeCell ref="C33:E33"/>
    <mergeCell ref="F33:K33"/>
    <mergeCell ref="L33:AO33"/>
    <mergeCell ref="AP33:AQ33"/>
    <mergeCell ref="AR33:AV33"/>
    <mergeCell ref="AW33:BD33"/>
    <mergeCell ref="BE33:BL33"/>
    <mergeCell ref="A32:B32"/>
    <mergeCell ref="C32:E32"/>
    <mergeCell ref="F32:K32"/>
    <mergeCell ref="L32:AO32"/>
    <mergeCell ref="AP32:AQ32"/>
    <mergeCell ref="AR32:AV32"/>
    <mergeCell ref="AW30:BD30"/>
    <mergeCell ref="BE30:BL30"/>
    <mergeCell ref="A31:B31"/>
    <mergeCell ref="C31:E31"/>
    <mergeCell ref="F31:K31"/>
    <mergeCell ref="L31:AO31"/>
    <mergeCell ref="AP31:AQ31"/>
    <mergeCell ref="AR31:AV31"/>
    <mergeCell ref="AW31:BD31"/>
    <mergeCell ref="BE31:BL31"/>
    <mergeCell ref="A30:B30"/>
    <mergeCell ref="C30:E30"/>
    <mergeCell ref="F30:K30"/>
    <mergeCell ref="L30:AO30"/>
    <mergeCell ref="AP30:AQ30"/>
    <mergeCell ref="AR30:AV30"/>
    <mergeCell ref="AW28:BD28"/>
    <mergeCell ref="BE28:BL28"/>
    <mergeCell ref="A29:B29"/>
    <mergeCell ref="C29:E29"/>
    <mergeCell ref="F29:K29"/>
    <mergeCell ref="L29:AO29"/>
    <mergeCell ref="AP29:AQ29"/>
    <mergeCell ref="AR29:AV29"/>
    <mergeCell ref="AW29:BD29"/>
    <mergeCell ref="BE29:BL29"/>
    <mergeCell ref="A28:B28"/>
    <mergeCell ref="C28:E28"/>
    <mergeCell ref="F28:K28"/>
    <mergeCell ref="L28:AO28"/>
    <mergeCell ref="AP28:AQ28"/>
    <mergeCell ref="AR28:AV28"/>
    <mergeCell ref="AW26:BD26"/>
    <mergeCell ref="BE26:BL26"/>
    <mergeCell ref="A27:B27"/>
    <mergeCell ref="C27:E27"/>
    <mergeCell ref="F27:K27"/>
    <mergeCell ref="L27:AO27"/>
    <mergeCell ref="AP27:AQ27"/>
    <mergeCell ref="AR27:AV27"/>
    <mergeCell ref="AW27:BD27"/>
    <mergeCell ref="BE27:BL27"/>
    <mergeCell ref="A26:B26"/>
    <mergeCell ref="C26:E26"/>
    <mergeCell ref="F26:K26"/>
    <mergeCell ref="L26:AO26"/>
    <mergeCell ref="AP26:AQ26"/>
    <mergeCell ref="AR26:AV26"/>
    <mergeCell ref="AW24:BD24"/>
    <mergeCell ref="BE24:BL24"/>
    <mergeCell ref="A25:B25"/>
    <mergeCell ref="C25:E25"/>
    <mergeCell ref="F25:K25"/>
    <mergeCell ref="L25:AO25"/>
    <mergeCell ref="AP25:AQ25"/>
    <mergeCell ref="AR25:AV25"/>
    <mergeCell ref="AW25:BD25"/>
    <mergeCell ref="BE25:BL25"/>
    <mergeCell ref="A24:B24"/>
    <mergeCell ref="C24:E24"/>
    <mergeCell ref="F24:K24"/>
    <mergeCell ref="L24:AO24"/>
    <mergeCell ref="AP24:AQ24"/>
    <mergeCell ref="AR24:AV24"/>
    <mergeCell ref="AW22:BD22"/>
    <mergeCell ref="BE22:BL22"/>
    <mergeCell ref="A23:B23"/>
    <mergeCell ref="C23:E23"/>
    <mergeCell ref="F23:K23"/>
    <mergeCell ref="L23:AO23"/>
    <mergeCell ref="AP23:AQ23"/>
    <mergeCell ref="AR23:AV23"/>
    <mergeCell ref="AW23:BD23"/>
    <mergeCell ref="BE23:BL23"/>
    <mergeCell ref="A22:B22"/>
    <mergeCell ref="C22:E22"/>
    <mergeCell ref="F22:K22"/>
    <mergeCell ref="L22:AO22"/>
    <mergeCell ref="AP22:AQ22"/>
    <mergeCell ref="AR22:AV22"/>
    <mergeCell ref="AW20:BD20"/>
    <mergeCell ref="BE20:BL20"/>
    <mergeCell ref="A21:B21"/>
    <mergeCell ref="C21:E21"/>
    <mergeCell ref="F21:K21"/>
    <mergeCell ref="L21:AO21"/>
    <mergeCell ref="AP21:AQ21"/>
    <mergeCell ref="AR21:AV21"/>
    <mergeCell ref="AW21:BD21"/>
    <mergeCell ref="BE21:BL21"/>
    <mergeCell ref="A20:B20"/>
    <mergeCell ref="C20:E20"/>
    <mergeCell ref="F20:K20"/>
    <mergeCell ref="L20:AO20"/>
    <mergeCell ref="AP20:AQ20"/>
    <mergeCell ref="AR20:AV20"/>
    <mergeCell ref="AW18:BD18"/>
    <mergeCell ref="BE18:BL18"/>
    <mergeCell ref="A19:B19"/>
    <mergeCell ref="C19:E19"/>
    <mergeCell ref="F19:K19"/>
    <mergeCell ref="L19:AO19"/>
    <mergeCell ref="AP19:AQ19"/>
    <mergeCell ref="AR19:AV19"/>
    <mergeCell ref="AW19:BD19"/>
    <mergeCell ref="BE19:BL19"/>
    <mergeCell ref="A18:B18"/>
    <mergeCell ref="C18:E18"/>
    <mergeCell ref="F18:K18"/>
    <mergeCell ref="L18:AO18"/>
    <mergeCell ref="AP18:AQ18"/>
    <mergeCell ref="AR18:AV18"/>
    <mergeCell ref="AW16:BD16"/>
    <mergeCell ref="BE16:BL16"/>
    <mergeCell ref="A17:B17"/>
    <mergeCell ref="C17:E17"/>
    <mergeCell ref="F17:K17"/>
    <mergeCell ref="L17:AO17"/>
    <mergeCell ref="AP17:AQ17"/>
    <mergeCell ref="AR17:AV17"/>
    <mergeCell ref="AW17:BD17"/>
    <mergeCell ref="BE17:BL17"/>
    <mergeCell ref="A16:B16"/>
    <mergeCell ref="C16:E16"/>
    <mergeCell ref="F16:K16"/>
    <mergeCell ref="L16:AO16"/>
    <mergeCell ref="AP16:AQ16"/>
    <mergeCell ref="AR16:AV16"/>
    <mergeCell ref="AW14:BD14"/>
    <mergeCell ref="BE14:BL14"/>
    <mergeCell ref="A15:B15"/>
    <mergeCell ref="C15:E15"/>
    <mergeCell ref="F15:K15"/>
    <mergeCell ref="L15:AO15"/>
    <mergeCell ref="AP15:AQ15"/>
    <mergeCell ref="AR15:AV15"/>
    <mergeCell ref="AW15:BD15"/>
    <mergeCell ref="BE15:BL15"/>
    <mergeCell ref="A14:B14"/>
    <mergeCell ref="C14:E14"/>
    <mergeCell ref="F14:K14"/>
    <mergeCell ref="L14:AO14"/>
    <mergeCell ref="AP14:AQ14"/>
    <mergeCell ref="AR14:AV14"/>
    <mergeCell ref="AW12:BD12"/>
    <mergeCell ref="BE12:BL12"/>
    <mergeCell ref="A13:B13"/>
    <mergeCell ref="C13:E13"/>
    <mergeCell ref="F13:K13"/>
    <mergeCell ref="L13:AO13"/>
    <mergeCell ref="AP13:AQ13"/>
    <mergeCell ref="AR13:AV13"/>
    <mergeCell ref="AW13:BD13"/>
    <mergeCell ref="BE13:BL13"/>
    <mergeCell ref="A12:B12"/>
    <mergeCell ref="C12:E12"/>
    <mergeCell ref="F12:K12"/>
    <mergeCell ref="L12:AO12"/>
    <mergeCell ref="AP12:AQ12"/>
    <mergeCell ref="AR12:AV12"/>
    <mergeCell ref="A11:B11"/>
    <mergeCell ref="C11:E11"/>
    <mergeCell ref="F11:K11"/>
    <mergeCell ref="L11:AO11"/>
    <mergeCell ref="AP11:AQ11"/>
    <mergeCell ref="AR11:AV11"/>
    <mergeCell ref="AW11:BD11"/>
    <mergeCell ref="BE11:BL11"/>
    <mergeCell ref="AW10:BD10"/>
    <mergeCell ref="BE10:BL10"/>
    <mergeCell ref="A10:B10"/>
    <mergeCell ref="C10:E10"/>
    <mergeCell ref="F10:K10"/>
    <mergeCell ref="L10:AO10"/>
    <mergeCell ref="AP10:AQ10"/>
    <mergeCell ref="AR10:AV10"/>
    <mergeCell ref="A8:E9"/>
    <mergeCell ref="F8:AI9"/>
    <mergeCell ref="AJ8:AP9"/>
    <mergeCell ref="AQ8:AV9"/>
    <mergeCell ref="AW8:BC9"/>
    <mergeCell ref="BD8:BL9"/>
    <mergeCell ref="A6:E7"/>
    <mergeCell ref="F6:AI7"/>
    <mergeCell ref="AJ6:AP7"/>
    <mergeCell ref="AQ6:AV7"/>
    <mergeCell ref="AW6:BC7"/>
    <mergeCell ref="BD6:BL7"/>
    <mergeCell ref="A4:E5"/>
    <mergeCell ref="F4:AI5"/>
    <mergeCell ref="AJ4:AP5"/>
    <mergeCell ref="AQ4:AV5"/>
    <mergeCell ref="AW4:BC5"/>
    <mergeCell ref="BD4:BL5"/>
    <mergeCell ref="A1:BL1"/>
    <mergeCell ref="A2:E3"/>
    <mergeCell ref="F2:AI3"/>
    <mergeCell ref="AJ2:AP3"/>
    <mergeCell ref="AQ2:AV3"/>
    <mergeCell ref="AW2:BC3"/>
    <mergeCell ref="BD2:BL3"/>
  </mergeCells>
  <printOptions/>
  <pageMargins left="0.394" right="0.394" top="0.4" bottom="0.33" header="0.3" footer="0.24"/>
  <pageSetup fitToHeight="0" fitToWidth="1" horizontalDpi="600" verticalDpi="600" orientation="landscape" paperSize="9" scale="7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57"/>
  <sheetViews>
    <sheetView zoomScale="90" zoomScaleNormal="90" zoomScaleSheetLayoutView="100" zoomScalePageLayoutView="0" workbookViewId="0" topLeftCell="O1">
      <pane ySplit="10" topLeftCell="A38" activePane="bottomLeft" state="frozen"/>
      <selection pane="topLeft" activeCell="B38" sqref="B38"/>
      <selection pane="bottomLeft" activeCell="AR48" sqref="AR48:BD48"/>
    </sheetView>
  </sheetViews>
  <sheetFormatPr defaultColWidth="11.57421875" defaultRowHeight="12.75"/>
  <cols>
    <col min="1" max="19" width="2.8515625" style="0" customWidth="1"/>
    <col min="20" max="20" width="2.7109375" style="0" customWidth="1"/>
    <col min="21" max="64" width="2.8515625" style="0" customWidth="1"/>
    <col min="65" max="65" width="11.57421875" style="0" customWidth="1"/>
    <col min="66" max="66" width="11.57421875" style="135" hidden="1" customWidth="1"/>
    <col min="67" max="250" width="11.57421875" style="0" customWidth="1"/>
    <col min="251" max="254" width="12.140625" style="0" hidden="1" customWidth="1"/>
  </cols>
  <sheetData>
    <row r="1" spans="1:64" ht="29.25" customHeight="1">
      <c r="A1" s="189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8"/>
      <c r="AY1" s="148"/>
      <c r="AZ1" s="148"/>
      <c r="BA1" s="148"/>
      <c r="BB1" s="148"/>
      <c r="BC1" s="148"/>
      <c r="BD1" s="148"/>
      <c r="BE1" s="148"/>
      <c r="BF1" s="148"/>
      <c r="BG1" s="148"/>
      <c r="BH1" s="148"/>
      <c r="BI1" s="148"/>
      <c r="BJ1" s="148"/>
      <c r="BK1" s="148"/>
      <c r="BL1" s="148"/>
    </row>
    <row r="2" spans="1:65" ht="12.75">
      <c r="A2" s="149" t="s">
        <v>1</v>
      </c>
      <c r="B2" s="150"/>
      <c r="C2" s="150"/>
      <c r="D2" s="150"/>
      <c r="E2" s="150"/>
      <c r="F2" s="153" t="str">
        <f>'Stavební rozpočet'!D2</f>
        <v>Stavební úpravy soc.zařízení ZŠ Želízy</v>
      </c>
      <c r="G2" s="154"/>
      <c r="H2" s="154"/>
      <c r="I2" s="154"/>
      <c r="J2" s="154"/>
      <c r="K2" s="154"/>
      <c r="L2" s="154"/>
      <c r="M2" s="154"/>
      <c r="N2" s="154"/>
      <c r="O2" s="154"/>
      <c r="P2" s="154"/>
      <c r="Q2" s="154"/>
      <c r="R2" s="154"/>
      <c r="S2" s="154"/>
      <c r="T2" s="154"/>
      <c r="U2" s="154"/>
      <c r="V2" s="154"/>
      <c r="W2" s="154"/>
      <c r="X2" s="154"/>
      <c r="Y2" s="154"/>
      <c r="Z2" s="154"/>
      <c r="AA2" s="154"/>
      <c r="AB2" s="154"/>
      <c r="AC2" s="154"/>
      <c r="AD2" s="154"/>
      <c r="AE2" s="154"/>
      <c r="AF2" s="154"/>
      <c r="AG2" s="154"/>
      <c r="AH2" s="154"/>
      <c r="AI2" s="154"/>
      <c r="AJ2" s="190" t="s">
        <v>320</v>
      </c>
      <c r="AK2" s="150"/>
      <c r="AL2" s="150"/>
      <c r="AM2" s="150"/>
      <c r="AN2" s="150"/>
      <c r="AO2" s="150"/>
      <c r="AP2" s="150"/>
      <c r="AQ2" s="156" t="str">
        <f>'Stavební rozpočet'!G2</f>
        <v> </v>
      </c>
      <c r="AR2" s="150"/>
      <c r="AS2" s="150"/>
      <c r="AT2" s="150"/>
      <c r="AU2" s="150"/>
      <c r="AV2" s="150"/>
      <c r="AW2" s="156" t="s">
        <v>334</v>
      </c>
      <c r="AX2" s="150"/>
      <c r="AY2" s="150"/>
      <c r="AZ2" s="150"/>
      <c r="BA2" s="150"/>
      <c r="BB2" s="150"/>
      <c r="BC2" s="150"/>
      <c r="BD2" s="156" t="str">
        <f>VORN!F2</f>
        <v>Obec Želízy, č.p. 46, 277 21 Želízy</v>
      </c>
      <c r="BE2" s="150"/>
      <c r="BF2" s="150"/>
      <c r="BG2" s="150"/>
      <c r="BH2" s="150"/>
      <c r="BI2" s="150"/>
      <c r="BJ2" s="150"/>
      <c r="BK2" s="150"/>
      <c r="BL2" s="191"/>
      <c r="BM2" s="5"/>
    </row>
    <row r="3" spans="1:65" ht="12.75">
      <c r="A3" s="151"/>
      <c r="B3" s="152"/>
      <c r="C3" s="152"/>
      <c r="D3" s="152"/>
      <c r="E3" s="152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  <c r="Z3" s="155"/>
      <c r="AA3" s="155"/>
      <c r="AB3" s="155"/>
      <c r="AC3" s="155"/>
      <c r="AD3" s="155"/>
      <c r="AE3" s="155"/>
      <c r="AF3" s="155"/>
      <c r="AG3" s="155"/>
      <c r="AH3" s="155"/>
      <c r="AI3" s="155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9"/>
      <c r="BM3" s="5"/>
    </row>
    <row r="4" spans="1:65" ht="12.75">
      <c r="A4" s="160" t="s">
        <v>2</v>
      </c>
      <c r="B4" s="152"/>
      <c r="C4" s="152"/>
      <c r="D4" s="152"/>
      <c r="E4" s="152"/>
      <c r="F4" s="161" t="str">
        <f>'Stavební rozpočet'!D4</f>
        <v> </v>
      </c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64" t="s">
        <v>321</v>
      </c>
      <c r="AK4" s="152"/>
      <c r="AL4" s="152"/>
      <c r="AM4" s="152"/>
      <c r="AN4" s="152"/>
      <c r="AO4" s="152"/>
      <c r="AP4" s="152"/>
      <c r="AQ4" s="161"/>
      <c r="AR4" s="152"/>
      <c r="AS4" s="152"/>
      <c r="AT4" s="152"/>
      <c r="AU4" s="152"/>
      <c r="AV4" s="152"/>
      <c r="AW4" s="161" t="s">
        <v>335</v>
      </c>
      <c r="AX4" s="152"/>
      <c r="AY4" s="152"/>
      <c r="AZ4" s="152"/>
      <c r="BA4" s="152"/>
      <c r="BB4" s="152"/>
      <c r="BC4" s="152"/>
      <c r="BD4" s="161" t="str">
        <f>VORN!F4</f>
        <v>PMM projekt s.r.o., Pražská 3939, 276 01 Mělník</v>
      </c>
      <c r="BE4" s="152"/>
      <c r="BF4" s="152"/>
      <c r="BG4" s="152"/>
      <c r="BH4" s="152"/>
      <c r="BI4" s="152"/>
      <c r="BJ4" s="152"/>
      <c r="BK4" s="152"/>
      <c r="BL4" s="159"/>
      <c r="BM4" s="5"/>
    </row>
    <row r="5" spans="1:65" ht="12.7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9"/>
      <c r="BM5" s="5"/>
    </row>
    <row r="6" spans="1:65" ht="12.75">
      <c r="A6" s="160" t="s">
        <v>3</v>
      </c>
      <c r="B6" s="152"/>
      <c r="C6" s="152"/>
      <c r="D6" s="152"/>
      <c r="E6" s="152"/>
      <c r="F6" s="161" t="str">
        <f>'Stavební rozpočet'!D6</f>
        <v>č.parc.st. 77, Želízy</v>
      </c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64" t="s">
        <v>322</v>
      </c>
      <c r="AK6" s="152"/>
      <c r="AL6" s="152"/>
      <c r="AM6" s="152"/>
      <c r="AN6" s="152"/>
      <c r="AO6" s="152"/>
      <c r="AP6" s="152"/>
      <c r="AQ6" s="161" t="str">
        <f>'Stavební rozpočet'!G6</f>
        <v> </v>
      </c>
      <c r="AR6" s="152"/>
      <c r="AS6" s="152"/>
      <c r="AT6" s="152"/>
      <c r="AU6" s="152"/>
      <c r="AV6" s="152"/>
      <c r="AW6" s="161" t="s">
        <v>336</v>
      </c>
      <c r="AX6" s="152"/>
      <c r="AY6" s="152"/>
      <c r="AZ6" s="152"/>
      <c r="BA6" s="152"/>
      <c r="BB6" s="152"/>
      <c r="BC6" s="152"/>
      <c r="BD6" s="161" t="str">
        <f>'Stavební rozpočet'!J6</f>
        <v> </v>
      </c>
      <c r="BE6" s="152"/>
      <c r="BF6" s="152"/>
      <c r="BG6" s="152"/>
      <c r="BH6" s="152"/>
      <c r="BI6" s="152"/>
      <c r="BJ6" s="152"/>
      <c r="BK6" s="152"/>
      <c r="BL6" s="159"/>
      <c r="BM6" s="5"/>
    </row>
    <row r="7" spans="1:65" ht="12.75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9"/>
      <c r="BM7" s="5"/>
    </row>
    <row r="8" spans="1:65" ht="12.75">
      <c r="A8" s="160" t="s">
        <v>4</v>
      </c>
      <c r="B8" s="152"/>
      <c r="C8" s="152"/>
      <c r="D8" s="152"/>
      <c r="E8" s="152"/>
      <c r="F8" s="161" t="str">
        <f>'Stavební rozpočet'!D8</f>
        <v> </v>
      </c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64" t="s">
        <v>323</v>
      </c>
      <c r="AK8" s="152"/>
      <c r="AL8" s="152"/>
      <c r="AM8" s="152"/>
      <c r="AN8" s="152"/>
      <c r="AO8" s="152"/>
      <c r="AP8" s="152"/>
      <c r="AQ8" s="192">
        <v>43977</v>
      </c>
      <c r="AR8" s="152"/>
      <c r="AS8" s="152"/>
      <c r="AT8" s="152"/>
      <c r="AU8" s="152"/>
      <c r="AV8" s="152"/>
      <c r="AW8" s="161" t="s">
        <v>337</v>
      </c>
      <c r="AX8" s="152"/>
      <c r="AY8" s="152"/>
      <c r="AZ8" s="152"/>
      <c r="BA8" s="152"/>
      <c r="BB8" s="152"/>
      <c r="BC8" s="152"/>
      <c r="BD8" s="161" t="str">
        <f>VORN!F10</f>
        <v>PMM projekt s.r.o., Pražská 3939, 276 01 Mělník</v>
      </c>
      <c r="BE8" s="152"/>
      <c r="BF8" s="152"/>
      <c r="BG8" s="152"/>
      <c r="BH8" s="152"/>
      <c r="BI8" s="152"/>
      <c r="BJ8" s="152"/>
      <c r="BK8" s="152"/>
      <c r="BL8" s="159"/>
      <c r="BM8" s="5"/>
    </row>
    <row r="9" spans="1:65" ht="12.75">
      <c r="A9" s="165"/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8"/>
      <c r="BM9" s="5"/>
    </row>
    <row r="10" spans="1:65" ht="13.5" thickBot="1">
      <c r="A10" s="193" t="s">
        <v>5</v>
      </c>
      <c r="B10" s="194"/>
      <c r="C10" s="193" t="s">
        <v>98</v>
      </c>
      <c r="D10" s="195"/>
      <c r="E10" s="194"/>
      <c r="F10" s="193" t="s">
        <v>102</v>
      </c>
      <c r="G10" s="195"/>
      <c r="H10" s="195"/>
      <c r="I10" s="195"/>
      <c r="J10" s="195"/>
      <c r="K10" s="194"/>
      <c r="L10" s="193" t="s">
        <v>206</v>
      </c>
      <c r="M10" s="195"/>
      <c r="N10" s="195"/>
      <c r="O10" s="195"/>
      <c r="P10" s="195"/>
      <c r="Q10" s="195"/>
      <c r="R10" s="195"/>
      <c r="S10" s="195"/>
      <c r="T10" s="195"/>
      <c r="U10" s="195"/>
      <c r="V10" s="195"/>
      <c r="W10" s="195"/>
      <c r="X10" s="195"/>
      <c r="Y10" s="195"/>
      <c r="Z10" s="195"/>
      <c r="AA10" s="195"/>
      <c r="AB10" s="195"/>
      <c r="AC10" s="195"/>
      <c r="AD10" s="195"/>
      <c r="AE10" s="195"/>
      <c r="AF10" s="195"/>
      <c r="AG10" s="195"/>
      <c r="AH10" s="195"/>
      <c r="AI10" s="195"/>
      <c r="AJ10" s="195"/>
      <c r="AK10" s="195"/>
      <c r="AL10" s="195"/>
      <c r="AM10" s="195"/>
      <c r="AN10" s="195"/>
      <c r="AO10" s="194"/>
      <c r="AP10" s="193" t="s">
        <v>324</v>
      </c>
      <c r="AQ10" s="194"/>
      <c r="AR10" s="193" t="s">
        <v>333</v>
      </c>
      <c r="AS10" s="195"/>
      <c r="AT10" s="195"/>
      <c r="AU10" s="195"/>
      <c r="AV10" s="194"/>
      <c r="AW10" s="193" t="s">
        <v>338</v>
      </c>
      <c r="AX10" s="195"/>
      <c r="AY10" s="195"/>
      <c r="AZ10" s="195"/>
      <c r="BA10" s="195"/>
      <c r="BB10" s="195"/>
      <c r="BC10" s="195"/>
      <c r="BD10" s="194"/>
      <c r="BE10" s="193" t="s">
        <v>340</v>
      </c>
      <c r="BF10" s="195"/>
      <c r="BG10" s="195"/>
      <c r="BH10" s="195"/>
      <c r="BI10" s="195"/>
      <c r="BJ10" s="195"/>
      <c r="BK10" s="195"/>
      <c r="BL10" s="196"/>
      <c r="BM10" s="5"/>
    </row>
    <row r="11" spans="1:64" ht="12.75">
      <c r="A11" s="217" t="s">
        <v>6</v>
      </c>
      <c r="B11" s="218"/>
      <c r="C11" s="217" t="s">
        <v>6</v>
      </c>
      <c r="D11" s="218"/>
      <c r="E11" s="218"/>
      <c r="F11" s="217"/>
      <c r="G11" s="218"/>
      <c r="H11" s="218"/>
      <c r="I11" s="218"/>
      <c r="J11" s="218"/>
      <c r="K11" s="218"/>
      <c r="L11" s="217" t="s">
        <v>277</v>
      </c>
      <c r="M11" s="218"/>
      <c r="N11" s="218"/>
      <c r="O11" s="218"/>
      <c r="P11" s="218"/>
      <c r="Q11" s="218"/>
      <c r="R11" s="218"/>
      <c r="S11" s="218"/>
      <c r="T11" s="218"/>
      <c r="U11" s="218"/>
      <c r="V11" s="218"/>
      <c r="W11" s="218"/>
      <c r="X11" s="218"/>
      <c r="Y11" s="218"/>
      <c r="Z11" s="218"/>
      <c r="AA11" s="218"/>
      <c r="AB11" s="218"/>
      <c r="AC11" s="218"/>
      <c r="AD11" s="218"/>
      <c r="AE11" s="218"/>
      <c r="AF11" s="218"/>
      <c r="AG11" s="218"/>
      <c r="AH11" s="218"/>
      <c r="AI11" s="218"/>
      <c r="AJ11" s="218"/>
      <c r="AK11" s="218"/>
      <c r="AL11" s="218"/>
      <c r="AM11" s="218"/>
      <c r="AN11" s="218"/>
      <c r="AO11" s="218"/>
      <c r="AP11" s="217" t="s">
        <v>6</v>
      </c>
      <c r="AQ11" s="218"/>
      <c r="AR11" s="214" t="s">
        <v>6</v>
      </c>
      <c r="AS11" s="215"/>
      <c r="AT11" s="215"/>
      <c r="AU11" s="215"/>
      <c r="AV11" s="215"/>
      <c r="AW11" s="214" t="s">
        <v>6</v>
      </c>
      <c r="AX11" s="215"/>
      <c r="AY11" s="215"/>
      <c r="AZ11" s="215"/>
      <c r="BA11" s="215"/>
      <c r="BB11" s="215"/>
      <c r="BC11" s="215"/>
      <c r="BD11" s="215"/>
      <c r="BE11" s="223">
        <f>BE12+BE20+BE33+BE44+BE46</f>
        <v>0</v>
      </c>
      <c r="BF11" s="224"/>
      <c r="BG11" s="224"/>
      <c r="BH11" s="224"/>
      <c r="BI11" s="224"/>
      <c r="BJ11" s="224"/>
      <c r="BK11" s="224"/>
      <c r="BL11" s="224"/>
    </row>
    <row r="12" spans="1:64" ht="12.75">
      <c r="A12" s="202" t="s">
        <v>6</v>
      </c>
      <c r="B12" s="203"/>
      <c r="C12" s="202" t="s">
        <v>6</v>
      </c>
      <c r="D12" s="203"/>
      <c r="E12" s="203"/>
      <c r="F12" s="202" t="s">
        <v>164</v>
      </c>
      <c r="G12" s="203"/>
      <c r="H12" s="203"/>
      <c r="I12" s="203"/>
      <c r="J12" s="203"/>
      <c r="K12" s="203"/>
      <c r="L12" s="202" t="s">
        <v>278</v>
      </c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2" t="s">
        <v>6</v>
      </c>
      <c r="AQ12" s="203"/>
      <c r="AR12" s="204" t="s">
        <v>6</v>
      </c>
      <c r="AS12" s="205"/>
      <c r="AT12" s="205"/>
      <c r="AU12" s="205"/>
      <c r="AV12" s="205"/>
      <c r="AW12" s="204" t="s">
        <v>6</v>
      </c>
      <c r="AX12" s="205"/>
      <c r="AY12" s="205"/>
      <c r="AZ12" s="205"/>
      <c r="BA12" s="205"/>
      <c r="BB12" s="205"/>
      <c r="BC12" s="205"/>
      <c r="BD12" s="205"/>
      <c r="BE12" s="206">
        <f>SUM(BE13:BE19)</f>
        <v>0</v>
      </c>
      <c r="BF12" s="205"/>
      <c r="BG12" s="205"/>
      <c r="BH12" s="205"/>
      <c r="BI12" s="205"/>
      <c r="BJ12" s="205"/>
      <c r="BK12" s="205"/>
      <c r="BL12" s="205"/>
    </row>
    <row r="13" spans="1:253" ht="12.75">
      <c r="A13" s="207" t="s">
        <v>60</v>
      </c>
      <c r="B13" s="208"/>
      <c r="C13" s="207" t="s">
        <v>101</v>
      </c>
      <c r="D13" s="208"/>
      <c r="E13" s="208"/>
      <c r="F13" s="207" t="s">
        <v>165</v>
      </c>
      <c r="G13" s="208"/>
      <c r="H13" s="208"/>
      <c r="I13" s="208"/>
      <c r="J13" s="208"/>
      <c r="K13" s="208"/>
      <c r="L13" s="207" t="s">
        <v>279</v>
      </c>
      <c r="M13" s="208"/>
      <c r="N13" s="208"/>
      <c r="O13" s="208"/>
      <c r="P13" s="208"/>
      <c r="Q13" s="208"/>
      <c r="R13" s="208"/>
      <c r="S13" s="208"/>
      <c r="T13" s="208"/>
      <c r="U13" s="208"/>
      <c r="V13" s="208"/>
      <c r="W13" s="208"/>
      <c r="X13" s="208"/>
      <c r="Y13" s="208"/>
      <c r="Z13" s="208"/>
      <c r="AA13" s="208"/>
      <c r="AB13" s="208"/>
      <c r="AC13" s="208"/>
      <c r="AD13" s="208"/>
      <c r="AE13" s="208"/>
      <c r="AF13" s="208"/>
      <c r="AG13" s="208"/>
      <c r="AH13" s="208"/>
      <c r="AI13" s="208"/>
      <c r="AJ13" s="208"/>
      <c r="AK13" s="208"/>
      <c r="AL13" s="208"/>
      <c r="AM13" s="208"/>
      <c r="AN13" s="208"/>
      <c r="AO13" s="208"/>
      <c r="AP13" s="207" t="s">
        <v>328</v>
      </c>
      <c r="AQ13" s="208"/>
      <c r="AR13" s="209">
        <v>7.37</v>
      </c>
      <c r="AS13" s="210"/>
      <c r="AT13" s="210"/>
      <c r="AU13" s="210"/>
      <c r="AV13" s="210"/>
      <c r="AW13" s="240"/>
      <c r="AX13" s="241"/>
      <c r="AY13" s="241"/>
      <c r="AZ13" s="241"/>
      <c r="BA13" s="241"/>
      <c r="BB13" s="241"/>
      <c r="BC13" s="241"/>
      <c r="BD13" s="241"/>
      <c r="BE13" s="209">
        <f>AR13*AW13</f>
        <v>0</v>
      </c>
      <c r="BF13" s="210"/>
      <c r="BG13" s="210"/>
      <c r="BH13" s="210"/>
      <c r="BI13" s="210"/>
      <c r="BJ13" s="210"/>
      <c r="BK13" s="210"/>
      <c r="BL13" s="210"/>
      <c r="BN13" s="135">
        <f>AR13*AW13</f>
        <v>0</v>
      </c>
      <c r="IR13" s="7">
        <f>AW13*0.335438596491228</f>
        <v>0</v>
      </c>
      <c r="IS13" s="7">
        <f>AW13*(1-0.335438596491228)</f>
        <v>0</v>
      </c>
    </row>
    <row r="14" spans="1:253" ht="12.75">
      <c r="A14" s="207" t="s">
        <v>61</v>
      </c>
      <c r="B14" s="208"/>
      <c r="C14" s="207" t="s">
        <v>101</v>
      </c>
      <c r="D14" s="208"/>
      <c r="E14" s="208"/>
      <c r="F14" s="207" t="s">
        <v>166</v>
      </c>
      <c r="G14" s="208"/>
      <c r="H14" s="208"/>
      <c r="I14" s="208"/>
      <c r="J14" s="208"/>
      <c r="K14" s="208"/>
      <c r="L14" s="207" t="s">
        <v>280</v>
      </c>
      <c r="M14" s="208"/>
      <c r="N14" s="208"/>
      <c r="O14" s="208"/>
      <c r="P14" s="208"/>
      <c r="Q14" s="208"/>
      <c r="R14" s="208"/>
      <c r="S14" s="208"/>
      <c r="T14" s="208"/>
      <c r="U14" s="208"/>
      <c r="V14" s="208"/>
      <c r="W14" s="208"/>
      <c r="X14" s="208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8"/>
      <c r="AJ14" s="208"/>
      <c r="AK14" s="208"/>
      <c r="AL14" s="208"/>
      <c r="AM14" s="208"/>
      <c r="AN14" s="208"/>
      <c r="AO14" s="208"/>
      <c r="AP14" s="207" t="s">
        <v>326</v>
      </c>
      <c r="AQ14" s="208"/>
      <c r="AR14" s="209">
        <v>1</v>
      </c>
      <c r="AS14" s="210"/>
      <c r="AT14" s="210"/>
      <c r="AU14" s="210"/>
      <c r="AV14" s="210"/>
      <c r="AW14" s="240"/>
      <c r="AX14" s="241"/>
      <c r="AY14" s="241"/>
      <c r="AZ14" s="241"/>
      <c r="BA14" s="241"/>
      <c r="BB14" s="241"/>
      <c r="BC14" s="241"/>
      <c r="BD14" s="241"/>
      <c r="BE14" s="209">
        <f aca="true" t="shared" si="0" ref="BE14:BE19">AR14*AW14</f>
        <v>0</v>
      </c>
      <c r="BF14" s="210"/>
      <c r="BG14" s="210"/>
      <c r="BH14" s="210"/>
      <c r="BI14" s="210"/>
      <c r="BJ14" s="210"/>
      <c r="BK14" s="210"/>
      <c r="BL14" s="210"/>
      <c r="BN14" s="135">
        <f aca="true" t="shared" si="1" ref="BN14:BN55">AR14*AW14</f>
        <v>0</v>
      </c>
      <c r="IR14" s="7">
        <f>AW14*0</f>
        <v>0</v>
      </c>
      <c r="IS14" s="7">
        <f>AW14*(1-0)</f>
        <v>0</v>
      </c>
    </row>
    <row r="15" spans="1:253" ht="12.75">
      <c r="A15" s="207" t="s">
        <v>62</v>
      </c>
      <c r="B15" s="208"/>
      <c r="C15" s="207" t="s">
        <v>101</v>
      </c>
      <c r="D15" s="208"/>
      <c r="E15" s="208"/>
      <c r="F15" s="207" t="s">
        <v>167</v>
      </c>
      <c r="G15" s="208"/>
      <c r="H15" s="208"/>
      <c r="I15" s="208"/>
      <c r="J15" s="208"/>
      <c r="K15" s="208"/>
      <c r="L15" s="207" t="s">
        <v>281</v>
      </c>
      <c r="M15" s="208"/>
      <c r="N15" s="208"/>
      <c r="O15" s="208"/>
      <c r="P15" s="208"/>
      <c r="Q15" s="208"/>
      <c r="R15" s="208"/>
      <c r="S15" s="208"/>
      <c r="T15" s="208"/>
      <c r="U15" s="208"/>
      <c r="V15" s="208"/>
      <c r="W15" s="208"/>
      <c r="X15" s="208"/>
      <c r="Y15" s="208"/>
      <c r="Z15" s="208"/>
      <c r="AA15" s="208"/>
      <c r="AB15" s="208"/>
      <c r="AC15" s="208"/>
      <c r="AD15" s="208"/>
      <c r="AE15" s="208"/>
      <c r="AF15" s="208"/>
      <c r="AG15" s="208"/>
      <c r="AH15" s="208"/>
      <c r="AI15" s="208"/>
      <c r="AJ15" s="208"/>
      <c r="AK15" s="208"/>
      <c r="AL15" s="208"/>
      <c r="AM15" s="208"/>
      <c r="AN15" s="208"/>
      <c r="AO15" s="208"/>
      <c r="AP15" s="207" t="s">
        <v>326</v>
      </c>
      <c r="AQ15" s="208"/>
      <c r="AR15" s="209">
        <v>1</v>
      </c>
      <c r="AS15" s="210"/>
      <c r="AT15" s="210"/>
      <c r="AU15" s="210"/>
      <c r="AV15" s="210"/>
      <c r="AW15" s="240"/>
      <c r="AX15" s="241"/>
      <c r="AY15" s="241"/>
      <c r="AZ15" s="241"/>
      <c r="BA15" s="241"/>
      <c r="BB15" s="241"/>
      <c r="BC15" s="241"/>
      <c r="BD15" s="241"/>
      <c r="BE15" s="209">
        <f t="shared" si="0"/>
        <v>0</v>
      </c>
      <c r="BF15" s="210"/>
      <c r="BG15" s="210"/>
      <c r="BH15" s="210"/>
      <c r="BI15" s="210"/>
      <c r="BJ15" s="210"/>
      <c r="BK15" s="210"/>
      <c r="BL15" s="210"/>
      <c r="BN15" s="135">
        <f t="shared" si="1"/>
        <v>0</v>
      </c>
      <c r="IR15" s="7">
        <f>AW15*1</f>
        <v>0</v>
      </c>
      <c r="IS15" s="7">
        <f>AW15*(1-1)</f>
        <v>0</v>
      </c>
    </row>
    <row r="16" spans="1:253" ht="12.75">
      <c r="A16" s="207" t="s">
        <v>63</v>
      </c>
      <c r="B16" s="208"/>
      <c r="C16" s="207" t="s">
        <v>101</v>
      </c>
      <c r="D16" s="208"/>
      <c r="E16" s="208"/>
      <c r="F16" s="207" t="s">
        <v>168</v>
      </c>
      <c r="G16" s="208"/>
      <c r="H16" s="208"/>
      <c r="I16" s="208"/>
      <c r="J16" s="208"/>
      <c r="K16" s="208"/>
      <c r="L16" s="207" t="s">
        <v>282</v>
      </c>
      <c r="M16" s="208"/>
      <c r="N16" s="208"/>
      <c r="O16" s="208"/>
      <c r="P16" s="208"/>
      <c r="Q16" s="208"/>
      <c r="R16" s="208"/>
      <c r="S16" s="208"/>
      <c r="T16" s="208"/>
      <c r="U16" s="208"/>
      <c r="V16" s="208"/>
      <c r="W16" s="208"/>
      <c r="X16" s="208"/>
      <c r="Y16" s="208"/>
      <c r="Z16" s="208"/>
      <c r="AA16" s="208"/>
      <c r="AB16" s="208"/>
      <c r="AC16" s="208"/>
      <c r="AD16" s="208"/>
      <c r="AE16" s="208"/>
      <c r="AF16" s="208"/>
      <c r="AG16" s="208"/>
      <c r="AH16" s="208"/>
      <c r="AI16" s="208"/>
      <c r="AJ16" s="208"/>
      <c r="AK16" s="208"/>
      <c r="AL16" s="208"/>
      <c r="AM16" s="208"/>
      <c r="AN16" s="208"/>
      <c r="AO16" s="208"/>
      <c r="AP16" s="207" t="s">
        <v>331</v>
      </c>
      <c r="AQ16" s="208"/>
      <c r="AR16" s="209">
        <v>0.03</v>
      </c>
      <c r="AS16" s="210"/>
      <c r="AT16" s="210"/>
      <c r="AU16" s="210"/>
      <c r="AV16" s="210"/>
      <c r="AW16" s="240"/>
      <c r="AX16" s="241"/>
      <c r="AY16" s="241"/>
      <c r="AZ16" s="241"/>
      <c r="BA16" s="241"/>
      <c r="BB16" s="241"/>
      <c r="BC16" s="241"/>
      <c r="BD16" s="241"/>
      <c r="BE16" s="209">
        <f t="shared" si="0"/>
        <v>0</v>
      </c>
      <c r="BF16" s="210"/>
      <c r="BG16" s="210"/>
      <c r="BH16" s="210"/>
      <c r="BI16" s="210"/>
      <c r="BJ16" s="210"/>
      <c r="BK16" s="210"/>
      <c r="BL16" s="210"/>
      <c r="BN16" s="135">
        <f t="shared" si="1"/>
        <v>0</v>
      </c>
      <c r="IR16" s="7">
        <f>AW16*0</f>
        <v>0</v>
      </c>
      <c r="IS16" s="7">
        <f>AW16*(1-0)</f>
        <v>0</v>
      </c>
    </row>
    <row r="17" spans="1:253" ht="12.75">
      <c r="A17" s="207" t="s">
        <v>64</v>
      </c>
      <c r="B17" s="208"/>
      <c r="C17" s="207" t="s">
        <v>101</v>
      </c>
      <c r="D17" s="208"/>
      <c r="E17" s="208"/>
      <c r="F17" s="207" t="s">
        <v>169</v>
      </c>
      <c r="G17" s="208"/>
      <c r="H17" s="208"/>
      <c r="I17" s="208"/>
      <c r="J17" s="208"/>
      <c r="K17" s="208"/>
      <c r="L17" s="207" t="s">
        <v>283</v>
      </c>
      <c r="M17" s="208"/>
      <c r="N17" s="208"/>
      <c r="O17" s="208"/>
      <c r="P17" s="208"/>
      <c r="Q17" s="208"/>
      <c r="R17" s="208"/>
      <c r="S17" s="208"/>
      <c r="T17" s="208"/>
      <c r="U17" s="208"/>
      <c r="V17" s="208"/>
      <c r="W17" s="208"/>
      <c r="X17" s="208"/>
      <c r="Y17" s="208"/>
      <c r="Z17" s="208"/>
      <c r="AA17" s="208"/>
      <c r="AB17" s="208"/>
      <c r="AC17" s="208"/>
      <c r="AD17" s="208"/>
      <c r="AE17" s="208"/>
      <c r="AF17" s="208"/>
      <c r="AG17" s="208"/>
      <c r="AH17" s="208"/>
      <c r="AI17" s="208"/>
      <c r="AJ17" s="208"/>
      <c r="AK17" s="208"/>
      <c r="AL17" s="208"/>
      <c r="AM17" s="208"/>
      <c r="AN17" s="208"/>
      <c r="AO17" s="208"/>
      <c r="AP17" s="207" t="s">
        <v>328</v>
      </c>
      <c r="AQ17" s="208"/>
      <c r="AR17" s="209">
        <v>5.61</v>
      </c>
      <c r="AS17" s="210"/>
      <c r="AT17" s="210"/>
      <c r="AU17" s="210"/>
      <c r="AV17" s="210"/>
      <c r="AW17" s="240"/>
      <c r="AX17" s="241"/>
      <c r="AY17" s="241"/>
      <c r="AZ17" s="241"/>
      <c r="BA17" s="241"/>
      <c r="BB17" s="241"/>
      <c r="BC17" s="241"/>
      <c r="BD17" s="241"/>
      <c r="BE17" s="209">
        <f t="shared" si="0"/>
        <v>0</v>
      </c>
      <c r="BF17" s="210"/>
      <c r="BG17" s="210"/>
      <c r="BH17" s="210"/>
      <c r="BI17" s="210"/>
      <c r="BJ17" s="210"/>
      <c r="BK17" s="210"/>
      <c r="BL17" s="210"/>
      <c r="BN17" s="135">
        <f t="shared" si="1"/>
        <v>0</v>
      </c>
      <c r="IR17" s="7">
        <f>AW17*0.319267734553776</f>
        <v>0</v>
      </c>
      <c r="IS17" s="7">
        <f>AW17*(1-0.319267734553776)</f>
        <v>0</v>
      </c>
    </row>
    <row r="18" spans="1:253" ht="12.75">
      <c r="A18" s="207" t="s">
        <v>65</v>
      </c>
      <c r="B18" s="208"/>
      <c r="C18" s="207" t="s">
        <v>101</v>
      </c>
      <c r="D18" s="208"/>
      <c r="E18" s="208"/>
      <c r="F18" s="207" t="s">
        <v>170</v>
      </c>
      <c r="G18" s="208"/>
      <c r="H18" s="208"/>
      <c r="I18" s="208"/>
      <c r="J18" s="208"/>
      <c r="K18" s="208"/>
      <c r="L18" s="207" t="s">
        <v>284</v>
      </c>
      <c r="M18" s="208"/>
      <c r="N18" s="208"/>
      <c r="O18" s="208"/>
      <c r="P18" s="208"/>
      <c r="Q18" s="208"/>
      <c r="R18" s="208"/>
      <c r="S18" s="208"/>
      <c r="T18" s="208"/>
      <c r="U18" s="208"/>
      <c r="V18" s="208"/>
      <c r="W18" s="208"/>
      <c r="X18" s="208"/>
      <c r="Y18" s="208"/>
      <c r="Z18" s="208"/>
      <c r="AA18" s="208"/>
      <c r="AB18" s="208"/>
      <c r="AC18" s="208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8"/>
      <c r="AP18" s="207" t="s">
        <v>328</v>
      </c>
      <c r="AQ18" s="208"/>
      <c r="AR18" s="209">
        <v>7.5</v>
      </c>
      <c r="AS18" s="210"/>
      <c r="AT18" s="210"/>
      <c r="AU18" s="210"/>
      <c r="AV18" s="210"/>
      <c r="AW18" s="240"/>
      <c r="AX18" s="241"/>
      <c r="AY18" s="241"/>
      <c r="AZ18" s="241"/>
      <c r="BA18" s="241"/>
      <c r="BB18" s="241"/>
      <c r="BC18" s="241"/>
      <c r="BD18" s="241"/>
      <c r="BE18" s="209">
        <f t="shared" si="0"/>
        <v>0</v>
      </c>
      <c r="BF18" s="210"/>
      <c r="BG18" s="210"/>
      <c r="BH18" s="210"/>
      <c r="BI18" s="210"/>
      <c r="BJ18" s="210"/>
      <c r="BK18" s="210"/>
      <c r="BL18" s="210"/>
      <c r="BN18" s="135">
        <f t="shared" si="1"/>
        <v>0</v>
      </c>
      <c r="IR18" s="7">
        <f>AW18*0.385046382189239</f>
        <v>0</v>
      </c>
      <c r="IS18" s="7">
        <f>AW18*(1-0.385046382189239)</f>
        <v>0</v>
      </c>
    </row>
    <row r="19" spans="1:253" ht="12.75">
      <c r="A19" s="207" t="s">
        <v>66</v>
      </c>
      <c r="B19" s="208"/>
      <c r="C19" s="207" t="s">
        <v>101</v>
      </c>
      <c r="D19" s="208"/>
      <c r="E19" s="208"/>
      <c r="F19" s="207" t="s">
        <v>171</v>
      </c>
      <c r="G19" s="208"/>
      <c r="H19" s="208"/>
      <c r="I19" s="208"/>
      <c r="J19" s="208"/>
      <c r="K19" s="208"/>
      <c r="L19" s="207" t="s">
        <v>285</v>
      </c>
      <c r="M19" s="208"/>
      <c r="N19" s="208"/>
      <c r="O19" s="208"/>
      <c r="P19" s="208"/>
      <c r="Q19" s="208"/>
      <c r="R19" s="208"/>
      <c r="S19" s="208"/>
      <c r="T19" s="208"/>
      <c r="U19" s="208"/>
      <c r="V19" s="208"/>
      <c r="W19" s="208"/>
      <c r="X19" s="208"/>
      <c r="Y19" s="208"/>
      <c r="Z19" s="208"/>
      <c r="AA19" s="208"/>
      <c r="AB19" s="208"/>
      <c r="AC19" s="208"/>
      <c r="AD19" s="208"/>
      <c r="AE19" s="208"/>
      <c r="AF19" s="208"/>
      <c r="AG19" s="208"/>
      <c r="AH19" s="208"/>
      <c r="AI19" s="208"/>
      <c r="AJ19" s="208"/>
      <c r="AK19" s="208"/>
      <c r="AL19" s="208"/>
      <c r="AM19" s="208"/>
      <c r="AN19" s="208"/>
      <c r="AO19" s="208"/>
      <c r="AP19" s="207" t="s">
        <v>326</v>
      </c>
      <c r="AQ19" s="208"/>
      <c r="AR19" s="209">
        <v>1</v>
      </c>
      <c r="AS19" s="210"/>
      <c r="AT19" s="210"/>
      <c r="AU19" s="210"/>
      <c r="AV19" s="210"/>
      <c r="AW19" s="240"/>
      <c r="AX19" s="241"/>
      <c r="AY19" s="241"/>
      <c r="AZ19" s="241"/>
      <c r="BA19" s="241"/>
      <c r="BB19" s="241"/>
      <c r="BC19" s="241"/>
      <c r="BD19" s="241"/>
      <c r="BE19" s="209">
        <f t="shared" si="0"/>
        <v>0</v>
      </c>
      <c r="BF19" s="210"/>
      <c r="BG19" s="210"/>
      <c r="BH19" s="210"/>
      <c r="BI19" s="210"/>
      <c r="BJ19" s="210"/>
      <c r="BK19" s="210"/>
      <c r="BL19" s="210"/>
      <c r="BN19" s="135">
        <f t="shared" si="1"/>
        <v>0</v>
      </c>
      <c r="IR19" s="7">
        <f>AW19*0</f>
        <v>0</v>
      </c>
      <c r="IS19" s="7">
        <f>AW19*(1-0)</f>
        <v>0</v>
      </c>
    </row>
    <row r="20" spans="1:64" ht="12.75">
      <c r="A20" s="202" t="s">
        <v>6</v>
      </c>
      <c r="B20" s="203"/>
      <c r="C20" s="202" t="s">
        <v>6</v>
      </c>
      <c r="D20" s="203"/>
      <c r="E20" s="203"/>
      <c r="F20" s="202" t="s">
        <v>172</v>
      </c>
      <c r="G20" s="203"/>
      <c r="H20" s="203"/>
      <c r="I20" s="203"/>
      <c r="J20" s="203"/>
      <c r="K20" s="203"/>
      <c r="L20" s="202" t="s">
        <v>286</v>
      </c>
      <c r="M20" s="203"/>
      <c r="N20" s="203"/>
      <c r="O20" s="203"/>
      <c r="P20" s="203"/>
      <c r="Q20" s="203"/>
      <c r="R20" s="203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2" t="s">
        <v>6</v>
      </c>
      <c r="AQ20" s="203"/>
      <c r="AR20" s="204" t="s">
        <v>6</v>
      </c>
      <c r="AS20" s="205"/>
      <c r="AT20" s="205"/>
      <c r="AU20" s="205"/>
      <c r="AV20" s="205"/>
      <c r="AW20" s="204" t="s">
        <v>6</v>
      </c>
      <c r="AX20" s="205"/>
      <c r="AY20" s="205"/>
      <c r="AZ20" s="205"/>
      <c r="BA20" s="205"/>
      <c r="BB20" s="205"/>
      <c r="BC20" s="205"/>
      <c r="BD20" s="205"/>
      <c r="BE20" s="206">
        <f>SUM(BE21:BE32)</f>
        <v>0</v>
      </c>
      <c r="BF20" s="205"/>
      <c r="BG20" s="205"/>
      <c r="BH20" s="205"/>
      <c r="BI20" s="205"/>
      <c r="BJ20" s="205"/>
      <c r="BK20" s="205"/>
      <c r="BL20" s="205"/>
    </row>
    <row r="21" spans="1:253" ht="12.75">
      <c r="A21" s="207" t="s">
        <v>67</v>
      </c>
      <c r="B21" s="208"/>
      <c r="C21" s="207" t="s">
        <v>101</v>
      </c>
      <c r="D21" s="208"/>
      <c r="E21" s="208"/>
      <c r="F21" s="207" t="s">
        <v>173</v>
      </c>
      <c r="G21" s="208"/>
      <c r="H21" s="208"/>
      <c r="I21" s="208"/>
      <c r="J21" s="208"/>
      <c r="K21" s="208"/>
      <c r="L21" s="207" t="s">
        <v>287</v>
      </c>
      <c r="M21" s="208"/>
      <c r="N21" s="208"/>
      <c r="O21" s="208"/>
      <c r="P21" s="208"/>
      <c r="Q21" s="208"/>
      <c r="R21" s="208"/>
      <c r="S21" s="208"/>
      <c r="T21" s="208"/>
      <c r="U21" s="208"/>
      <c r="V21" s="208"/>
      <c r="W21" s="208"/>
      <c r="X21" s="208"/>
      <c r="Y21" s="208"/>
      <c r="Z21" s="208"/>
      <c r="AA21" s="208"/>
      <c r="AB21" s="208"/>
      <c r="AC21" s="208"/>
      <c r="AD21" s="208"/>
      <c r="AE21" s="208"/>
      <c r="AF21" s="208"/>
      <c r="AG21" s="208"/>
      <c r="AH21" s="208"/>
      <c r="AI21" s="208"/>
      <c r="AJ21" s="208"/>
      <c r="AK21" s="208"/>
      <c r="AL21" s="208"/>
      <c r="AM21" s="208"/>
      <c r="AN21" s="208"/>
      <c r="AO21" s="208"/>
      <c r="AP21" s="207" t="s">
        <v>328</v>
      </c>
      <c r="AQ21" s="208"/>
      <c r="AR21" s="209">
        <v>35</v>
      </c>
      <c r="AS21" s="210"/>
      <c r="AT21" s="210"/>
      <c r="AU21" s="210"/>
      <c r="AV21" s="210"/>
      <c r="AW21" s="240"/>
      <c r="AX21" s="241"/>
      <c r="AY21" s="241"/>
      <c r="AZ21" s="241"/>
      <c r="BA21" s="241"/>
      <c r="BB21" s="241"/>
      <c r="BC21" s="241"/>
      <c r="BD21" s="241"/>
      <c r="BE21" s="209">
        <f>AR21*AW21</f>
        <v>0</v>
      </c>
      <c r="BF21" s="210"/>
      <c r="BG21" s="210"/>
      <c r="BH21" s="210"/>
      <c r="BI21" s="210"/>
      <c r="BJ21" s="210"/>
      <c r="BK21" s="210"/>
      <c r="BL21" s="210"/>
      <c r="BN21" s="135">
        <f t="shared" si="1"/>
        <v>0</v>
      </c>
      <c r="IR21" s="7">
        <f>AW21*0.333966324851247</f>
        <v>0</v>
      </c>
      <c r="IS21" s="7">
        <f>AW21*(1-0.333966324851247)</f>
        <v>0</v>
      </c>
    </row>
    <row r="22" spans="1:253" ht="12.75">
      <c r="A22" s="207" t="s">
        <v>68</v>
      </c>
      <c r="B22" s="208"/>
      <c r="C22" s="207" t="s">
        <v>101</v>
      </c>
      <c r="D22" s="208"/>
      <c r="E22" s="208"/>
      <c r="F22" s="207" t="s">
        <v>174</v>
      </c>
      <c r="G22" s="208"/>
      <c r="H22" s="208"/>
      <c r="I22" s="208"/>
      <c r="J22" s="208"/>
      <c r="K22" s="208"/>
      <c r="L22" s="207" t="s">
        <v>288</v>
      </c>
      <c r="M22" s="208"/>
      <c r="N22" s="208"/>
      <c r="O22" s="208"/>
      <c r="P22" s="208"/>
      <c r="Q22" s="208"/>
      <c r="R22" s="208"/>
      <c r="S22" s="208"/>
      <c r="T22" s="208"/>
      <c r="U22" s="208"/>
      <c r="V22" s="208"/>
      <c r="W22" s="208"/>
      <c r="X22" s="208"/>
      <c r="Y22" s="208"/>
      <c r="Z22" s="208"/>
      <c r="AA22" s="208"/>
      <c r="AB22" s="208"/>
      <c r="AC22" s="208"/>
      <c r="AD22" s="208"/>
      <c r="AE22" s="208"/>
      <c r="AF22" s="208"/>
      <c r="AG22" s="208"/>
      <c r="AH22" s="208"/>
      <c r="AI22" s="208"/>
      <c r="AJ22" s="208"/>
      <c r="AK22" s="208"/>
      <c r="AL22" s="208"/>
      <c r="AM22" s="208"/>
      <c r="AN22" s="208"/>
      <c r="AO22" s="208"/>
      <c r="AP22" s="207" t="s">
        <v>328</v>
      </c>
      <c r="AQ22" s="208"/>
      <c r="AR22" s="209">
        <v>17</v>
      </c>
      <c r="AS22" s="210"/>
      <c r="AT22" s="210"/>
      <c r="AU22" s="210"/>
      <c r="AV22" s="210"/>
      <c r="AW22" s="240"/>
      <c r="AX22" s="241"/>
      <c r="AY22" s="241"/>
      <c r="AZ22" s="241"/>
      <c r="BA22" s="241"/>
      <c r="BB22" s="241"/>
      <c r="BC22" s="241"/>
      <c r="BD22" s="241"/>
      <c r="BE22" s="209">
        <f aca="true" t="shared" si="2" ref="BE22:BE32">AR22*AW22</f>
        <v>0</v>
      </c>
      <c r="BF22" s="210"/>
      <c r="BG22" s="210"/>
      <c r="BH22" s="210"/>
      <c r="BI22" s="210"/>
      <c r="BJ22" s="210"/>
      <c r="BK22" s="210"/>
      <c r="BL22" s="210"/>
      <c r="BN22" s="135">
        <f t="shared" si="1"/>
        <v>0</v>
      </c>
      <c r="IR22" s="7">
        <f>AW22*0.364228723404255</f>
        <v>0</v>
      </c>
      <c r="IS22" s="7">
        <f>AW22*(1-0.364228723404255)</f>
        <v>0</v>
      </c>
    </row>
    <row r="23" spans="1:253" ht="12.75">
      <c r="A23" s="207" t="s">
        <v>69</v>
      </c>
      <c r="B23" s="208"/>
      <c r="C23" s="207" t="s">
        <v>101</v>
      </c>
      <c r="D23" s="208"/>
      <c r="E23" s="208"/>
      <c r="F23" s="207" t="s">
        <v>175</v>
      </c>
      <c r="G23" s="208"/>
      <c r="H23" s="208"/>
      <c r="I23" s="208"/>
      <c r="J23" s="208"/>
      <c r="K23" s="208"/>
      <c r="L23" s="207" t="s">
        <v>289</v>
      </c>
      <c r="M23" s="208"/>
      <c r="N23" s="208"/>
      <c r="O23" s="208"/>
      <c r="P23" s="208"/>
      <c r="Q23" s="208"/>
      <c r="R23" s="208"/>
      <c r="S23" s="208"/>
      <c r="T23" s="208"/>
      <c r="U23" s="208"/>
      <c r="V23" s="208"/>
      <c r="W23" s="208"/>
      <c r="X23" s="208"/>
      <c r="Y23" s="208"/>
      <c r="Z23" s="208"/>
      <c r="AA23" s="208"/>
      <c r="AB23" s="208"/>
      <c r="AC23" s="208"/>
      <c r="AD23" s="208"/>
      <c r="AE23" s="208"/>
      <c r="AF23" s="208"/>
      <c r="AG23" s="208"/>
      <c r="AH23" s="208"/>
      <c r="AI23" s="208"/>
      <c r="AJ23" s="208"/>
      <c r="AK23" s="208"/>
      <c r="AL23" s="208"/>
      <c r="AM23" s="208"/>
      <c r="AN23" s="208"/>
      <c r="AO23" s="208"/>
      <c r="AP23" s="207" t="s">
        <v>328</v>
      </c>
      <c r="AQ23" s="208"/>
      <c r="AR23" s="209">
        <v>52</v>
      </c>
      <c r="AS23" s="210"/>
      <c r="AT23" s="210"/>
      <c r="AU23" s="210"/>
      <c r="AV23" s="210"/>
      <c r="AW23" s="240"/>
      <c r="AX23" s="241"/>
      <c r="AY23" s="241"/>
      <c r="AZ23" s="241"/>
      <c r="BA23" s="241"/>
      <c r="BB23" s="241"/>
      <c r="BC23" s="241"/>
      <c r="BD23" s="241"/>
      <c r="BE23" s="209">
        <f t="shared" si="2"/>
        <v>0</v>
      </c>
      <c r="BF23" s="210"/>
      <c r="BG23" s="210"/>
      <c r="BH23" s="210"/>
      <c r="BI23" s="210"/>
      <c r="BJ23" s="210"/>
      <c r="BK23" s="210"/>
      <c r="BL23" s="210"/>
      <c r="BN23" s="135">
        <f t="shared" si="1"/>
        <v>0</v>
      </c>
      <c r="IR23" s="7">
        <f>AW23*0.0535055350553506</f>
        <v>0</v>
      </c>
      <c r="IS23" s="7">
        <f>AW23*(1-0.0535055350553506)</f>
        <v>0</v>
      </c>
    </row>
    <row r="24" spans="1:253" ht="12.75">
      <c r="A24" s="207" t="s">
        <v>70</v>
      </c>
      <c r="B24" s="208"/>
      <c r="C24" s="207" t="s">
        <v>101</v>
      </c>
      <c r="D24" s="208"/>
      <c r="E24" s="208"/>
      <c r="F24" s="207" t="s">
        <v>176</v>
      </c>
      <c r="G24" s="208"/>
      <c r="H24" s="208"/>
      <c r="I24" s="208"/>
      <c r="J24" s="208"/>
      <c r="K24" s="208"/>
      <c r="L24" s="207" t="s">
        <v>290</v>
      </c>
      <c r="M24" s="208"/>
      <c r="N24" s="208"/>
      <c r="O24" s="208"/>
      <c r="P24" s="208"/>
      <c r="Q24" s="208"/>
      <c r="R24" s="208"/>
      <c r="S24" s="208"/>
      <c r="T24" s="208"/>
      <c r="U24" s="208"/>
      <c r="V24" s="208"/>
      <c r="W24" s="208"/>
      <c r="X24" s="208"/>
      <c r="Y24" s="208"/>
      <c r="Z24" s="208"/>
      <c r="AA24" s="208"/>
      <c r="AB24" s="208"/>
      <c r="AC24" s="208"/>
      <c r="AD24" s="208"/>
      <c r="AE24" s="208"/>
      <c r="AF24" s="208"/>
      <c r="AG24" s="208"/>
      <c r="AH24" s="208"/>
      <c r="AI24" s="208"/>
      <c r="AJ24" s="208"/>
      <c r="AK24" s="208"/>
      <c r="AL24" s="208"/>
      <c r="AM24" s="208"/>
      <c r="AN24" s="208"/>
      <c r="AO24" s="208"/>
      <c r="AP24" s="207" t="s">
        <v>328</v>
      </c>
      <c r="AQ24" s="208"/>
      <c r="AR24" s="209">
        <v>52</v>
      </c>
      <c r="AS24" s="210"/>
      <c r="AT24" s="210"/>
      <c r="AU24" s="210"/>
      <c r="AV24" s="210"/>
      <c r="AW24" s="240"/>
      <c r="AX24" s="241"/>
      <c r="AY24" s="241"/>
      <c r="AZ24" s="241"/>
      <c r="BA24" s="241"/>
      <c r="BB24" s="241"/>
      <c r="BC24" s="241"/>
      <c r="BD24" s="241"/>
      <c r="BE24" s="209">
        <f t="shared" si="2"/>
        <v>0</v>
      </c>
      <c r="BF24" s="210"/>
      <c r="BG24" s="210"/>
      <c r="BH24" s="210"/>
      <c r="BI24" s="210"/>
      <c r="BJ24" s="210"/>
      <c r="BK24" s="210"/>
      <c r="BL24" s="210"/>
      <c r="BN24" s="135">
        <f t="shared" si="1"/>
        <v>0</v>
      </c>
      <c r="IR24" s="7">
        <f>AW24*0.0160183066361556</f>
        <v>0</v>
      </c>
      <c r="IS24" s="7">
        <f>AW24*(1-0.0160183066361556)</f>
        <v>0</v>
      </c>
    </row>
    <row r="25" spans="1:253" ht="12.75">
      <c r="A25" s="207" t="s">
        <v>71</v>
      </c>
      <c r="B25" s="208"/>
      <c r="C25" s="207" t="s">
        <v>101</v>
      </c>
      <c r="D25" s="208"/>
      <c r="E25" s="208"/>
      <c r="F25" s="207" t="s">
        <v>177</v>
      </c>
      <c r="G25" s="208"/>
      <c r="H25" s="208"/>
      <c r="I25" s="208"/>
      <c r="J25" s="208"/>
      <c r="K25" s="208"/>
      <c r="L25" s="207" t="s">
        <v>291</v>
      </c>
      <c r="M25" s="208"/>
      <c r="N25" s="208"/>
      <c r="O25" s="208"/>
      <c r="P25" s="208"/>
      <c r="Q25" s="208"/>
      <c r="R25" s="208"/>
      <c r="S25" s="208"/>
      <c r="T25" s="208"/>
      <c r="U25" s="208"/>
      <c r="V25" s="208"/>
      <c r="W25" s="208"/>
      <c r="X25" s="208"/>
      <c r="Y25" s="208"/>
      <c r="Z25" s="208"/>
      <c r="AA25" s="208"/>
      <c r="AB25" s="208"/>
      <c r="AC25" s="208"/>
      <c r="AD25" s="208"/>
      <c r="AE25" s="208"/>
      <c r="AF25" s="208"/>
      <c r="AG25" s="208"/>
      <c r="AH25" s="208"/>
      <c r="AI25" s="208"/>
      <c r="AJ25" s="208"/>
      <c r="AK25" s="208"/>
      <c r="AL25" s="208"/>
      <c r="AM25" s="208"/>
      <c r="AN25" s="208"/>
      <c r="AO25" s="208"/>
      <c r="AP25" s="207" t="s">
        <v>329</v>
      </c>
      <c r="AQ25" s="208"/>
      <c r="AR25" s="209">
        <v>1</v>
      </c>
      <c r="AS25" s="210"/>
      <c r="AT25" s="210"/>
      <c r="AU25" s="210"/>
      <c r="AV25" s="210"/>
      <c r="AW25" s="240"/>
      <c r="AX25" s="241"/>
      <c r="AY25" s="241"/>
      <c r="AZ25" s="241"/>
      <c r="BA25" s="241"/>
      <c r="BB25" s="241"/>
      <c r="BC25" s="241"/>
      <c r="BD25" s="241"/>
      <c r="BE25" s="209">
        <f t="shared" si="2"/>
        <v>0</v>
      </c>
      <c r="BF25" s="210"/>
      <c r="BG25" s="210"/>
      <c r="BH25" s="210"/>
      <c r="BI25" s="210"/>
      <c r="BJ25" s="210"/>
      <c r="BK25" s="210"/>
      <c r="BL25" s="210"/>
      <c r="BN25" s="135">
        <f t="shared" si="1"/>
        <v>0</v>
      </c>
      <c r="IR25" s="7">
        <f>AW25*0.875759577278732</f>
        <v>0</v>
      </c>
      <c r="IS25" s="7">
        <f>AW25*(1-0.875759577278732)</f>
        <v>0</v>
      </c>
    </row>
    <row r="26" spans="1:253" ht="12.75">
      <c r="A26" s="207" t="s">
        <v>72</v>
      </c>
      <c r="B26" s="208"/>
      <c r="C26" s="207" t="s">
        <v>101</v>
      </c>
      <c r="D26" s="208"/>
      <c r="E26" s="208"/>
      <c r="F26" s="207" t="s">
        <v>178</v>
      </c>
      <c r="G26" s="208"/>
      <c r="H26" s="208"/>
      <c r="I26" s="208"/>
      <c r="J26" s="208"/>
      <c r="K26" s="208"/>
      <c r="L26" s="207" t="s">
        <v>292</v>
      </c>
      <c r="M26" s="208"/>
      <c r="N26" s="208"/>
      <c r="O26" s="208"/>
      <c r="P26" s="208"/>
      <c r="Q26" s="208"/>
      <c r="R26" s="208"/>
      <c r="S26" s="208"/>
      <c r="T26" s="208"/>
      <c r="U26" s="208"/>
      <c r="V26" s="208"/>
      <c r="W26" s="208"/>
      <c r="X26" s="208"/>
      <c r="Y26" s="208"/>
      <c r="Z26" s="208"/>
      <c r="AA26" s="208"/>
      <c r="AB26" s="208"/>
      <c r="AC26" s="208"/>
      <c r="AD26" s="208"/>
      <c r="AE26" s="208"/>
      <c r="AF26" s="208"/>
      <c r="AG26" s="208"/>
      <c r="AH26" s="208"/>
      <c r="AI26" s="208"/>
      <c r="AJ26" s="208"/>
      <c r="AK26" s="208"/>
      <c r="AL26" s="208"/>
      <c r="AM26" s="208"/>
      <c r="AN26" s="208"/>
      <c r="AO26" s="208"/>
      <c r="AP26" s="207" t="s">
        <v>329</v>
      </c>
      <c r="AQ26" s="208"/>
      <c r="AR26" s="209">
        <v>6</v>
      </c>
      <c r="AS26" s="210"/>
      <c r="AT26" s="210"/>
      <c r="AU26" s="210"/>
      <c r="AV26" s="210"/>
      <c r="AW26" s="240"/>
      <c r="AX26" s="241"/>
      <c r="AY26" s="241"/>
      <c r="AZ26" s="241"/>
      <c r="BA26" s="241"/>
      <c r="BB26" s="241"/>
      <c r="BC26" s="241"/>
      <c r="BD26" s="241"/>
      <c r="BE26" s="209">
        <f t="shared" si="2"/>
        <v>0</v>
      </c>
      <c r="BF26" s="210"/>
      <c r="BG26" s="210"/>
      <c r="BH26" s="210"/>
      <c r="BI26" s="210"/>
      <c r="BJ26" s="210"/>
      <c r="BK26" s="210"/>
      <c r="BL26" s="210"/>
      <c r="BN26" s="135">
        <f t="shared" si="1"/>
        <v>0</v>
      </c>
      <c r="IR26" s="7">
        <f>AW26*0.862730923694779</f>
        <v>0</v>
      </c>
      <c r="IS26" s="7">
        <f>AW26*(1-0.862730923694779)</f>
        <v>0</v>
      </c>
    </row>
    <row r="27" spans="1:253" ht="12.75">
      <c r="A27" s="207" t="s">
        <v>73</v>
      </c>
      <c r="B27" s="208"/>
      <c r="C27" s="207" t="s">
        <v>101</v>
      </c>
      <c r="D27" s="208"/>
      <c r="E27" s="208"/>
      <c r="F27" s="207" t="s">
        <v>179</v>
      </c>
      <c r="G27" s="208"/>
      <c r="H27" s="208"/>
      <c r="I27" s="208"/>
      <c r="J27" s="208"/>
      <c r="K27" s="208"/>
      <c r="L27" s="207" t="s">
        <v>293</v>
      </c>
      <c r="M27" s="208"/>
      <c r="N27" s="208"/>
      <c r="O27" s="208"/>
      <c r="P27" s="208"/>
      <c r="Q27" s="208"/>
      <c r="R27" s="208"/>
      <c r="S27" s="208"/>
      <c r="T27" s="208"/>
      <c r="U27" s="208"/>
      <c r="V27" s="208"/>
      <c r="W27" s="208"/>
      <c r="X27" s="208"/>
      <c r="Y27" s="208"/>
      <c r="Z27" s="208"/>
      <c r="AA27" s="208"/>
      <c r="AB27" s="208"/>
      <c r="AC27" s="208"/>
      <c r="AD27" s="208"/>
      <c r="AE27" s="208"/>
      <c r="AF27" s="208"/>
      <c r="AG27" s="208"/>
      <c r="AH27" s="208"/>
      <c r="AI27" s="208"/>
      <c r="AJ27" s="208"/>
      <c r="AK27" s="208"/>
      <c r="AL27" s="208"/>
      <c r="AM27" s="208"/>
      <c r="AN27" s="208"/>
      <c r="AO27" s="208"/>
      <c r="AP27" s="207" t="s">
        <v>328</v>
      </c>
      <c r="AQ27" s="208"/>
      <c r="AR27" s="209">
        <v>35</v>
      </c>
      <c r="AS27" s="210"/>
      <c r="AT27" s="210"/>
      <c r="AU27" s="210"/>
      <c r="AV27" s="210"/>
      <c r="AW27" s="240"/>
      <c r="AX27" s="241"/>
      <c r="AY27" s="241"/>
      <c r="AZ27" s="241"/>
      <c r="BA27" s="241"/>
      <c r="BB27" s="241"/>
      <c r="BC27" s="241"/>
      <c r="BD27" s="241"/>
      <c r="BE27" s="209">
        <f t="shared" si="2"/>
        <v>0</v>
      </c>
      <c r="BF27" s="210"/>
      <c r="BG27" s="210"/>
      <c r="BH27" s="210"/>
      <c r="BI27" s="210"/>
      <c r="BJ27" s="210"/>
      <c r="BK27" s="210"/>
      <c r="BL27" s="210"/>
      <c r="BN27" s="135">
        <f t="shared" si="1"/>
        <v>0</v>
      </c>
      <c r="IR27" s="7">
        <f>AW27*0.226096256684492</f>
        <v>0</v>
      </c>
      <c r="IS27" s="7">
        <f>AW27*(1-0.226096256684492)</f>
        <v>0</v>
      </c>
    </row>
    <row r="28" spans="1:253" ht="12.75">
      <c r="A28" s="207" t="s">
        <v>74</v>
      </c>
      <c r="B28" s="208"/>
      <c r="C28" s="207" t="s">
        <v>101</v>
      </c>
      <c r="D28" s="208"/>
      <c r="E28" s="208"/>
      <c r="F28" s="207" t="s">
        <v>180</v>
      </c>
      <c r="G28" s="208"/>
      <c r="H28" s="208"/>
      <c r="I28" s="208"/>
      <c r="J28" s="208"/>
      <c r="K28" s="208"/>
      <c r="L28" s="207" t="s">
        <v>294</v>
      </c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8"/>
      <c r="AO28" s="208"/>
      <c r="AP28" s="207" t="s">
        <v>328</v>
      </c>
      <c r="AQ28" s="208"/>
      <c r="AR28" s="209">
        <v>17</v>
      </c>
      <c r="AS28" s="210"/>
      <c r="AT28" s="210"/>
      <c r="AU28" s="210"/>
      <c r="AV28" s="210"/>
      <c r="AW28" s="240"/>
      <c r="AX28" s="241"/>
      <c r="AY28" s="241"/>
      <c r="AZ28" s="241"/>
      <c r="BA28" s="241"/>
      <c r="BB28" s="241"/>
      <c r="BC28" s="241"/>
      <c r="BD28" s="241"/>
      <c r="BE28" s="209">
        <f t="shared" si="2"/>
        <v>0</v>
      </c>
      <c r="BF28" s="210"/>
      <c r="BG28" s="210"/>
      <c r="BH28" s="210"/>
      <c r="BI28" s="210"/>
      <c r="BJ28" s="210"/>
      <c r="BK28" s="210"/>
      <c r="BL28" s="210"/>
      <c r="BN28" s="135">
        <f t="shared" si="1"/>
        <v>0</v>
      </c>
      <c r="IR28" s="7">
        <f>AW28*0.288796068796069</f>
        <v>0</v>
      </c>
      <c r="IS28" s="7">
        <f>AW28*(1-0.288796068796069)</f>
        <v>0</v>
      </c>
    </row>
    <row r="29" spans="1:253" ht="12.75">
      <c r="A29" s="207" t="s">
        <v>75</v>
      </c>
      <c r="B29" s="208"/>
      <c r="C29" s="207" t="s">
        <v>101</v>
      </c>
      <c r="D29" s="208"/>
      <c r="E29" s="208"/>
      <c r="F29" s="207" t="s">
        <v>181</v>
      </c>
      <c r="G29" s="208"/>
      <c r="H29" s="208"/>
      <c r="I29" s="208"/>
      <c r="J29" s="208"/>
      <c r="K29" s="208"/>
      <c r="L29" s="207" t="s">
        <v>295</v>
      </c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8"/>
      <c r="AO29" s="208"/>
      <c r="AP29" s="207" t="s">
        <v>326</v>
      </c>
      <c r="AQ29" s="208"/>
      <c r="AR29" s="209">
        <v>1</v>
      </c>
      <c r="AS29" s="210"/>
      <c r="AT29" s="210"/>
      <c r="AU29" s="210"/>
      <c r="AV29" s="210"/>
      <c r="AW29" s="240"/>
      <c r="AX29" s="241"/>
      <c r="AY29" s="241"/>
      <c r="AZ29" s="241"/>
      <c r="BA29" s="241"/>
      <c r="BB29" s="241"/>
      <c r="BC29" s="241"/>
      <c r="BD29" s="241"/>
      <c r="BE29" s="209">
        <f t="shared" si="2"/>
        <v>0</v>
      </c>
      <c r="BF29" s="210"/>
      <c r="BG29" s="210"/>
      <c r="BH29" s="210"/>
      <c r="BI29" s="210"/>
      <c r="BJ29" s="210"/>
      <c r="BK29" s="210"/>
      <c r="BL29" s="210"/>
      <c r="BN29" s="135">
        <f t="shared" si="1"/>
        <v>0</v>
      </c>
      <c r="IR29" s="7">
        <f>AW29*0</f>
        <v>0</v>
      </c>
      <c r="IS29" s="7">
        <f>AW29*(1-0)</f>
        <v>0</v>
      </c>
    </row>
    <row r="30" spans="1:253" ht="12.75">
      <c r="A30" s="207" t="s">
        <v>76</v>
      </c>
      <c r="B30" s="208"/>
      <c r="C30" s="207" t="s">
        <v>101</v>
      </c>
      <c r="D30" s="208"/>
      <c r="E30" s="208"/>
      <c r="F30" s="207" t="s">
        <v>182</v>
      </c>
      <c r="G30" s="208"/>
      <c r="H30" s="208"/>
      <c r="I30" s="208"/>
      <c r="J30" s="208"/>
      <c r="K30" s="208"/>
      <c r="L30" s="207" t="s">
        <v>296</v>
      </c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8"/>
      <c r="AO30" s="208"/>
      <c r="AP30" s="207" t="s">
        <v>326</v>
      </c>
      <c r="AQ30" s="208"/>
      <c r="AR30" s="209">
        <v>1</v>
      </c>
      <c r="AS30" s="210"/>
      <c r="AT30" s="210"/>
      <c r="AU30" s="210"/>
      <c r="AV30" s="210"/>
      <c r="AW30" s="240"/>
      <c r="AX30" s="241"/>
      <c r="AY30" s="241"/>
      <c r="AZ30" s="241"/>
      <c r="BA30" s="241"/>
      <c r="BB30" s="241"/>
      <c r="BC30" s="241"/>
      <c r="BD30" s="241"/>
      <c r="BE30" s="209">
        <f t="shared" si="2"/>
        <v>0</v>
      </c>
      <c r="BF30" s="210"/>
      <c r="BG30" s="210"/>
      <c r="BH30" s="210"/>
      <c r="BI30" s="210"/>
      <c r="BJ30" s="210"/>
      <c r="BK30" s="210"/>
      <c r="BL30" s="210"/>
      <c r="BN30" s="135">
        <f t="shared" si="1"/>
        <v>0</v>
      </c>
      <c r="IR30" s="7">
        <f>AW30*0</f>
        <v>0</v>
      </c>
      <c r="IS30" s="7">
        <f>AW30*(1-0)</f>
        <v>0</v>
      </c>
    </row>
    <row r="31" spans="1:253" ht="12.75">
      <c r="A31" s="207" t="s">
        <v>77</v>
      </c>
      <c r="B31" s="208"/>
      <c r="C31" s="207" t="s">
        <v>101</v>
      </c>
      <c r="D31" s="208"/>
      <c r="E31" s="208"/>
      <c r="F31" s="207" t="s">
        <v>183</v>
      </c>
      <c r="G31" s="208"/>
      <c r="H31" s="208"/>
      <c r="I31" s="208"/>
      <c r="J31" s="208"/>
      <c r="K31" s="208"/>
      <c r="L31" s="207" t="s">
        <v>281</v>
      </c>
      <c r="M31" s="208"/>
      <c r="N31" s="208"/>
      <c r="O31" s="208"/>
      <c r="P31" s="208"/>
      <c r="Q31" s="208"/>
      <c r="R31" s="208"/>
      <c r="S31" s="208"/>
      <c r="T31" s="208"/>
      <c r="U31" s="208"/>
      <c r="V31" s="208"/>
      <c r="W31" s="208"/>
      <c r="X31" s="208"/>
      <c r="Y31" s="208"/>
      <c r="Z31" s="208"/>
      <c r="AA31" s="208"/>
      <c r="AB31" s="208"/>
      <c r="AC31" s="208"/>
      <c r="AD31" s="208"/>
      <c r="AE31" s="208"/>
      <c r="AF31" s="208"/>
      <c r="AG31" s="208"/>
      <c r="AH31" s="208"/>
      <c r="AI31" s="208"/>
      <c r="AJ31" s="208"/>
      <c r="AK31" s="208"/>
      <c r="AL31" s="208"/>
      <c r="AM31" s="208"/>
      <c r="AN31" s="208"/>
      <c r="AO31" s="208"/>
      <c r="AP31" s="207" t="s">
        <v>326</v>
      </c>
      <c r="AQ31" s="208"/>
      <c r="AR31" s="209">
        <v>1</v>
      </c>
      <c r="AS31" s="210"/>
      <c r="AT31" s="210"/>
      <c r="AU31" s="210"/>
      <c r="AV31" s="210"/>
      <c r="AW31" s="240"/>
      <c r="AX31" s="241"/>
      <c r="AY31" s="241"/>
      <c r="AZ31" s="241"/>
      <c r="BA31" s="241"/>
      <c r="BB31" s="241"/>
      <c r="BC31" s="241"/>
      <c r="BD31" s="241"/>
      <c r="BE31" s="209">
        <f t="shared" si="2"/>
        <v>0</v>
      </c>
      <c r="BF31" s="210"/>
      <c r="BG31" s="210"/>
      <c r="BH31" s="210"/>
      <c r="BI31" s="210"/>
      <c r="BJ31" s="210"/>
      <c r="BK31" s="210"/>
      <c r="BL31" s="210"/>
      <c r="BN31" s="135">
        <f t="shared" si="1"/>
        <v>0</v>
      </c>
      <c r="IR31" s="7">
        <f>AW31*1</f>
        <v>0</v>
      </c>
      <c r="IS31" s="7">
        <f>AW31*(1-1)</f>
        <v>0</v>
      </c>
    </row>
    <row r="32" spans="1:253" ht="12.75">
      <c r="A32" s="207" t="s">
        <v>78</v>
      </c>
      <c r="B32" s="208"/>
      <c r="C32" s="207" t="s">
        <v>101</v>
      </c>
      <c r="D32" s="208"/>
      <c r="E32" s="208"/>
      <c r="F32" s="207" t="s">
        <v>184</v>
      </c>
      <c r="G32" s="208"/>
      <c r="H32" s="208"/>
      <c r="I32" s="208"/>
      <c r="J32" s="208"/>
      <c r="K32" s="208"/>
      <c r="L32" s="207" t="s">
        <v>297</v>
      </c>
      <c r="M32" s="208"/>
      <c r="N32" s="208"/>
      <c r="O32" s="208"/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208"/>
      <c r="AF32" s="208"/>
      <c r="AG32" s="208"/>
      <c r="AH32" s="208"/>
      <c r="AI32" s="208"/>
      <c r="AJ32" s="208"/>
      <c r="AK32" s="208"/>
      <c r="AL32" s="208"/>
      <c r="AM32" s="208"/>
      <c r="AN32" s="208"/>
      <c r="AO32" s="208"/>
      <c r="AP32" s="207" t="s">
        <v>331</v>
      </c>
      <c r="AQ32" s="208"/>
      <c r="AR32" s="209">
        <v>0.03</v>
      </c>
      <c r="AS32" s="210"/>
      <c r="AT32" s="210"/>
      <c r="AU32" s="210"/>
      <c r="AV32" s="210"/>
      <c r="AW32" s="240"/>
      <c r="AX32" s="241"/>
      <c r="AY32" s="241"/>
      <c r="AZ32" s="241"/>
      <c r="BA32" s="241"/>
      <c r="BB32" s="241"/>
      <c r="BC32" s="241"/>
      <c r="BD32" s="241"/>
      <c r="BE32" s="209">
        <f t="shared" si="2"/>
        <v>0</v>
      </c>
      <c r="BF32" s="210"/>
      <c r="BG32" s="210"/>
      <c r="BH32" s="210"/>
      <c r="BI32" s="210"/>
      <c r="BJ32" s="210"/>
      <c r="BK32" s="210"/>
      <c r="BL32" s="210"/>
      <c r="BN32" s="135">
        <f t="shared" si="1"/>
        <v>0</v>
      </c>
      <c r="IR32" s="7">
        <f>AW32*0</f>
        <v>0</v>
      </c>
      <c r="IS32" s="7">
        <f>AW32*(1-0)</f>
        <v>0</v>
      </c>
    </row>
    <row r="33" spans="1:64" ht="12.75">
      <c r="A33" s="202" t="s">
        <v>6</v>
      </c>
      <c r="B33" s="203"/>
      <c r="C33" s="202" t="s">
        <v>6</v>
      </c>
      <c r="D33" s="203"/>
      <c r="E33" s="203"/>
      <c r="F33" s="202" t="s">
        <v>185</v>
      </c>
      <c r="G33" s="203"/>
      <c r="H33" s="203"/>
      <c r="I33" s="203"/>
      <c r="J33" s="203"/>
      <c r="K33" s="203"/>
      <c r="L33" s="202" t="s">
        <v>298</v>
      </c>
      <c r="M33" s="203"/>
      <c r="N33" s="203"/>
      <c r="O33" s="203"/>
      <c r="P33" s="203"/>
      <c r="Q33" s="203"/>
      <c r="R33" s="203"/>
      <c r="S33" s="203"/>
      <c r="T33" s="203"/>
      <c r="U33" s="203"/>
      <c r="V33" s="203"/>
      <c r="W33" s="203"/>
      <c r="X33" s="203"/>
      <c r="Y33" s="203"/>
      <c r="Z33" s="203"/>
      <c r="AA33" s="203"/>
      <c r="AB33" s="203"/>
      <c r="AC33" s="203"/>
      <c r="AD33" s="203"/>
      <c r="AE33" s="203"/>
      <c r="AF33" s="203"/>
      <c r="AG33" s="203"/>
      <c r="AH33" s="203"/>
      <c r="AI33" s="203"/>
      <c r="AJ33" s="203"/>
      <c r="AK33" s="203"/>
      <c r="AL33" s="203"/>
      <c r="AM33" s="203"/>
      <c r="AN33" s="203"/>
      <c r="AO33" s="203"/>
      <c r="AP33" s="202" t="s">
        <v>6</v>
      </c>
      <c r="AQ33" s="203"/>
      <c r="AR33" s="204" t="s">
        <v>6</v>
      </c>
      <c r="AS33" s="205"/>
      <c r="AT33" s="205"/>
      <c r="AU33" s="205"/>
      <c r="AV33" s="205"/>
      <c r="AW33" s="204" t="s">
        <v>6</v>
      </c>
      <c r="AX33" s="205"/>
      <c r="AY33" s="205"/>
      <c r="AZ33" s="205"/>
      <c r="BA33" s="205"/>
      <c r="BB33" s="205"/>
      <c r="BC33" s="205"/>
      <c r="BD33" s="205"/>
      <c r="BE33" s="206">
        <f>SUM(BE34:BE43)</f>
        <v>0</v>
      </c>
      <c r="BF33" s="205"/>
      <c r="BG33" s="205"/>
      <c r="BH33" s="205"/>
      <c r="BI33" s="205"/>
      <c r="BJ33" s="205"/>
      <c r="BK33" s="205"/>
      <c r="BL33" s="205"/>
    </row>
    <row r="34" spans="1:253" ht="12.75">
      <c r="A34" s="207" t="s">
        <v>79</v>
      </c>
      <c r="B34" s="208"/>
      <c r="C34" s="207" t="s">
        <v>101</v>
      </c>
      <c r="D34" s="208"/>
      <c r="E34" s="208"/>
      <c r="F34" s="207" t="s">
        <v>186</v>
      </c>
      <c r="G34" s="208"/>
      <c r="H34" s="208"/>
      <c r="I34" s="208"/>
      <c r="J34" s="208"/>
      <c r="K34" s="208"/>
      <c r="L34" s="207" t="s">
        <v>299</v>
      </c>
      <c r="M34" s="208"/>
      <c r="N34" s="208"/>
      <c r="O34" s="208"/>
      <c r="P34" s="208"/>
      <c r="Q34" s="208"/>
      <c r="R34" s="208"/>
      <c r="S34" s="208"/>
      <c r="T34" s="208"/>
      <c r="U34" s="208"/>
      <c r="V34" s="208"/>
      <c r="W34" s="208"/>
      <c r="X34" s="208"/>
      <c r="Y34" s="208"/>
      <c r="Z34" s="208"/>
      <c r="AA34" s="208"/>
      <c r="AB34" s="208"/>
      <c r="AC34" s="208"/>
      <c r="AD34" s="208"/>
      <c r="AE34" s="208"/>
      <c r="AF34" s="208"/>
      <c r="AG34" s="208"/>
      <c r="AH34" s="208"/>
      <c r="AI34" s="208"/>
      <c r="AJ34" s="208"/>
      <c r="AK34" s="208"/>
      <c r="AL34" s="208"/>
      <c r="AM34" s="208"/>
      <c r="AN34" s="208"/>
      <c r="AO34" s="208"/>
      <c r="AP34" s="207" t="s">
        <v>329</v>
      </c>
      <c r="AQ34" s="208"/>
      <c r="AR34" s="209">
        <v>5</v>
      </c>
      <c r="AS34" s="210"/>
      <c r="AT34" s="210"/>
      <c r="AU34" s="210"/>
      <c r="AV34" s="210"/>
      <c r="AW34" s="240"/>
      <c r="AX34" s="241"/>
      <c r="AY34" s="241"/>
      <c r="AZ34" s="241"/>
      <c r="BA34" s="241"/>
      <c r="BB34" s="241"/>
      <c r="BC34" s="241"/>
      <c r="BD34" s="241"/>
      <c r="BE34" s="209">
        <f>AR34*AW34</f>
        <v>0</v>
      </c>
      <c r="BF34" s="210"/>
      <c r="BG34" s="210"/>
      <c r="BH34" s="210"/>
      <c r="BI34" s="210"/>
      <c r="BJ34" s="210"/>
      <c r="BK34" s="210"/>
      <c r="BL34" s="210"/>
      <c r="BN34" s="135">
        <f t="shared" si="1"/>
        <v>0</v>
      </c>
      <c r="IR34" s="7">
        <f>AW34*0.903389423076923</f>
        <v>0</v>
      </c>
      <c r="IS34" s="7">
        <f>AW34*(1-0.903389423076923)</f>
        <v>0</v>
      </c>
    </row>
    <row r="35" spans="1:253" ht="12.75">
      <c r="A35" s="207" t="s">
        <v>80</v>
      </c>
      <c r="B35" s="208"/>
      <c r="C35" s="207" t="s">
        <v>101</v>
      </c>
      <c r="D35" s="208"/>
      <c r="E35" s="208"/>
      <c r="F35" s="207" t="s">
        <v>187</v>
      </c>
      <c r="G35" s="208"/>
      <c r="H35" s="208"/>
      <c r="I35" s="208"/>
      <c r="J35" s="208"/>
      <c r="K35" s="208"/>
      <c r="L35" s="207" t="s">
        <v>300</v>
      </c>
      <c r="M35" s="208"/>
      <c r="N35" s="208"/>
      <c r="O35" s="208"/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208"/>
      <c r="AF35" s="208"/>
      <c r="AG35" s="208"/>
      <c r="AH35" s="208"/>
      <c r="AI35" s="208"/>
      <c r="AJ35" s="208"/>
      <c r="AK35" s="208"/>
      <c r="AL35" s="208"/>
      <c r="AM35" s="208"/>
      <c r="AN35" s="208"/>
      <c r="AO35" s="208"/>
      <c r="AP35" s="207" t="s">
        <v>329</v>
      </c>
      <c r="AQ35" s="208"/>
      <c r="AR35" s="209">
        <v>5</v>
      </c>
      <c r="AS35" s="210"/>
      <c r="AT35" s="210"/>
      <c r="AU35" s="210"/>
      <c r="AV35" s="210"/>
      <c r="AW35" s="240"/>
      <c r="AX35" s="241"/>
      <c r="AY35" s="241"/>
      <c r="AZ35" s="241"/>
      <c r="BA35" s="241"/>
      <c r="BB35" s="241"/>
      <c r="BC35" s="241"/>
      <c r="BD35" s="241"/>
      <c r="BE35" s="209">
        <f aca="true" t="shared" si="3" ref="BE35:BE43">AR35*AW35</f>
        <v>0</v>
      </c>
      <c r="BF35" s="210"/>
      <c r="BG35" s="210"/>
      <c r="BH35" s="210"/>
      <c r="BI35" s="210"/>
      <c r="BJ35" s="210"/>
      <c r="BK35" s="210"/>
      <c r="BL35" s="210"/>
      <c r="BN35" s="135">
        <f t="shared" si="1"/>
        <v>0</v>
      </c>
      <c r="IR35" s="7">
        <f>AW35*0.883376620404801</f>
        <v>0</v>
      </c>
      <c r="IS35" s="7">
        <f>AW35*(1-0.883376620404801)</f>
        <v>0</v>
      </c>
    </row>
    <row r="36" spans="1:253" ht="12.75">
      <c r="A36" s="207" t="s">
        <v>81</v>
      </c>
      <c r="B36" s="208"/>
      <c r="C36" s="207" t="s">
        <v>101</v>
      </c>
      <c r="D36" s="208"/>
      <c r="E36" s="208"/>
      <c r="F36" s="207" t="s">
        <v>188</v>
      </c>
      <c r="G36" s="208"/>
      <c r="H36" s="208"/>
      <c r="I36" s="208"/>
      <c r="J36" s="208"/>
      <c r="K36" s="208"/>
      <c r="L36" s="207" t="s">
        <v>301</v>
      </c>
      <c r="M36" s="208"/>
      <c r="N36" s="208"/>
      <c r="O36" s="208"/>
      <c r="P36" s="208"/>
      <c r="Q36" s="208"/>
      <c r="R36" s="208"/>
      <c r="S36" s="208"/>
      <c r="T36" s="208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7" t="s">
        <v>327</v>
      </c>
      <c r="AQ36" s="208"/>
      <c r="AR36" s="209">
        <v>5</v>
      </c>
      <c r="AS36" s="210"/>
      <c r="AT36" s="210"/>
      <c r="AU36" s="210"/>
      <c r="AV36" s="210"/>
      <c r="AW36" s="240"/>
      <c r="AX36" s="241"/>
      <c r="AY36" s="241"/>
      <c r="AZ36" s="241"/>
      <c r="BA36" s="241"/>
      <c r="BB36" s="241"/>
      <c r="BC36" s="241"/>
      <c r="BD36" s="241"/>
      <c r="BE36" s="209">
        <f t="shared" si="3"/>
        <v>0</v>
      </c>
      <c r="BF36" s="210"/>
      <c r="BG36" s="210"/>
      <c r="BH36" s="210"/>
      <c r="BI36" s="210"/>
      <c r="BJ36" s="210"/>
      <c r="BK36" s="210"/>
      <c r="BL36" s="210"/>
      <c r="BN36" s="135">
        <f t="shared" si="1"/>
        <v>0</v>
      </c>
      <c r="IR36" s="7">
        <f>AW36*0.688998232944505</f>
        <v>0</v>
      </c>
      <c r="IS36" s="7">
        <f>AW36*(1-0.688998232944505)</f>
        <v>0</v>
      </c>
    </row>
    <row r="37" spans="1:253" ht="12.75">
      <c r="A37" s="207" t="s">
        <v>82</v>
      </c>
      <c r="B37" s="208"/>
      <c r="C37" s="207" t="s">
        <v>101</v>
      </c>
      <c r="D37" s="208"/>
      <c r="E37" s="208"/>
      <c r="F37" s="207" t="s">
        <v>189</v>
      </c>
      <c r="G37" s="208"/>
      <c r="H37" s="208"/>
      <c r="I37" s="208"/>
      <c r="J37" s="208"/>
      <c r="K37" s="208"/>
      <c r="L37" s="207" t="s">
        <v>302</v>
      </c>
      <c r="M37" s="208"/>
      <c r="N37" s="208"/>
      <c r="O37" s="208"/>
      <c r="P37" s="208"/>
      <c r="Q37" s="208"/>
      <c r="R37" s="208"/>
      <c r="S37" s="208"/>
      <c r="T37" s="208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7" t="s">
        <v>327</v>
      </c>
      <c r="AQ37" s="208"/>
      <c r="AR37" s="209">
        <v>1</v>
      </c>
      <c r="AS37" s="210"/>
      <c r="AT37" s="210"/>
      <c r="AU37" s="210"/>
      <c r="AV37" s="210"/>
      <c r="AW37" s="240"/>
      <c r="AX37" s="241"/>
      <c r="AY37" s="241"/>
      <c r="AZ37" s="241"/>
      <c r="BA37" s="241"/>
      <c r="BB37" s="241"/>
      <c r="BC37" s="241"/>
      <c r="BD37" s="241"/>
      <c r="BE37" s="209">
        <f t="shared" si="3"/>
        <v>0</v>
      </c>
      <c r="BF37" s="210"/>
      <c r="BG37" s="210"/>
      <c r="BH37" s="210"/>
      <c r="BI37" s="210"/>
      <c r="BJ37" s="210"/>
      <c r="BK37" s="210"/>
      <c r="BL37" s="210"/>
      <c r="BN37" s="135">
        <f t="shared" si="1"/>
        <v>0</v>
      </c>
      <c r="IR37" s="7">
        <f>AW37*0.890494766888677</f>
        <v>0</v>
      </c>
      <c r="IS37" s="7">
        <f>AW37*(1-0.890494766888677)</f>
        <v>0</v>
      </c>
    </row>
    <row r="38" spans="1:253" ht="12.75">
      <c r="A38" s="207" t="s">
        <v>83</v>
      </c>
      <c r="B38" s="208"/>
      <c r="C38" s="207" t="s">
        <v>101</v>
      </c>
      <c r="D38" s="208"/>
      <c r="E38" s="208"/>
      <c r="F38" s="207" t="s">
        <v>190</v>
      </c>
      <c r="G38" s="208"/>
      <c r="H38" s="208"/>
      <c r="I38" s="208"/>
      <c r="J38" s="208"/>
      <c r="K38" s="208"/>
      <c r="L38" s="207" t="s">
        <v>303</v>
      </c>
      <c r="M38" s="208"/>
      <c r="N38" s="208"/>
      <c r="O38" s="208"/>
      <c r="P38" s="208"/>
      <c r="Q38" s="208"/>
      <c r="R38" s="208"/>
      <c r="S38" s="208"/>
      <c r="T38" s="208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7" t="s">
        <v>329</v>
      </c>
      <c r="AQ38" s="208"/>
      <c r="AR38" s="209">
        <v>1</v>
      </c>
      <c r="AS38" s="210"/>
      <c r="AT38" s="210"/>
      <c r="AU38" s="210"/>
      <c r="AV38" s="210"/>
      <c r="AW38" s="240"/>
      <c r="AX38" s="241"/>
      <c r="AY38" s="241"/>
      <c r="AZ38" s="241"/>
      <c r="BA38" s="241"/>
      <c r="BB38" s="241"/>
      <c r="BC38" s="241"/>
      <c r="BD38" s="241"/>
      <c r="BE38" s="209">
        <f t="shared" si="3"/>
        <v>0</v>
      </c>
      <c r="BF38" s="210"/>
      <c r="BG38" s="210"/>
      <c r="BH38" s="210"/>
      <c r="BI38" s="210"/>
      <c r="BJ38" s="210"/>
      <c r="BK38" s="210"/>
      <c r="BL38" s="210"/>
      <c r="BN38" s="135">
        <f t="shared" si="1"/>
        <v>0</v>
      </c>
      <c r="IR38" s="7">
        <f>AW38*0.904023945861531</f>
        <v>0</v>
      </c>
      <c r="IS38" s="7">
        <f>AW38*(1-0.904023945861531)</f>
        <v>0</v>
      </c>
    </row>
    <row r="39" spans="1:253" ht="12.75">
      <c r="A39" s="207" t="s">
        <v>84</v>
      </c>
      <c r="B39" s="208"/>
      <c r="C39" s="207" t="s">
        <v>101</v>
      </c>
      <c r="D39" s="208"/>
      <c r="E39" s="208"/>
      <c r="F39" s="207" t="s">
        <v>191</v>
      </c>
      <c r="G39" s="208"/>
      <c r="H39" s="208"/>
      <c r="I39" s="208"/>
      <c r="J39" s="208"/>
      <c r="K39" s="208"/>
      <c r="L39" s="207" t="s">
        <v>304</v>
      </c>
      <c r="M39" s="208"/>
      <c r="N39" s="208"/>
      <c r="O39" s="208"/>
      <c r="P39" s="208"/>
      <c r="Q39" s="208"/>
      <c r="R39" s="208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7" t="s">
        <v>327</v>
      </c>
      <c r="AQ39" s="208"/>
      <c r="AR39" s="209">
        <v>4</v>
      </c>
      <c r="AS39" s="210"/>
      <c r="AT39" s="210"/>
      <c r="AU39" s="210"/>
      <c r="AV39" s="210"/>
      <c r="AW39" s="240"/>
      <c r="AX39" s="241"/>
      <c r="AY39" s="241"/>
      <c r="AZ39" s="241"/>
      <c r="BA39" s="241"/>
      <c r="BB39" s="241"/>
      <c r="BC39" s="241"/>
      <c r="BD39" s="241"/>
      <c r="BE39" s="209">
        <f t="shared" si="3"/>
        <v>0</v>
      </c>
      <c r="BF39" s="210"/>
      <c r="BG39" s="210"/>
      <c r="BH39" s="210"/>
      <c r="BI39" s="210"/>
      <c r="BJ39" s="210"/>
      <c r="BK39" s="210"/>
      <c r="BL39" s="210"/>
      <c r="BN39" s="135">
        <f t="shared" si="1"/>
        <v>0</v>
      </c>
      <c r="IR39" s="7">
        <f>AW39*0.864864970645793</f>
        <v>0</v>
      </c>
      <c r="IS39" s="7">
        <f>AW39*(1-0.864864970645793)</f>
        <v>0</v>
      </c>
    </row>
    <row r="40" spans="1:253" ht="12.75">
      <c r="A40" s="207" t="s">
        <v>85</v>
      </c>
      <c r="B40" s="208"/>
      <c r="C40" s="207" t="s">
        <v>101</v>
      </c>
      <c r="D40" s="208"/>
      <c r="E40" s="208"/>
      <c r="F40" s="207" t="s">
        <v>192</v>
      </c>
      <c r="G40" s="208"/>
      <c r="H40" s="208"/>
      <c r="I40" s="208"/>
      <c r="J40" s="208"/>
      <c r="K40" s="208"/>
      <c r="L40" s="207" t="s">
        <v>305</v>
      </c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7" t="s">
        <v>327</v>
      </c>
      <c r="AQ40" s="208"/>
      <c r="AR40" s="209">
        <v>2</v>
      </c>
      <c r="AS40" s="210"/>
      <c r="AT40" s="210"/>
      <c r="AU40" s="210"/>
      <c r="AV40" s="210"/>
      <c r="AW40" s="240"/>
      <c r="AX40" s="241"/>
      <c r="AY40" s="241"/>
      <c r="AZ40" s="241"/>
      <c r="BA40" s="241"/>
      <c r="BB40" s="241"/>
      <c r="BC40" s="241"/>
      <c r="BD40" s="241"/>
      <c r="BE40" s="209">
        <f t="shared" si="3"/>
        <v>0</v>
      </c>
      <c r="BF40" s="210"/>
      <c r="BG40" s="210"/>
      <c r="BH40" s="210"/>
      <c r="BI40" s="210"/>
      <c r="BJ40" s="210"/>
      <c r="BK40" s="210"/>
      <c r="BL40" s="210"/>
      <c r="BN40" s="135">
        <f t="shared" si="1"/>
        <v>0</v>
      </c>
      <c r="IR40" s="7">
        <f>AW40*0.904773501450528</f>
        <v>0</v>
      </c>
      <c r="IS40" s="7">
        <f>AW40*(1-0.904773501450528)</f>
        <v>0</v>
      </c>
    </row>
    <row r="41" spans="1:253" ht="12.75">
      <c r="A41" s="207" t="s">
        <v>86</v>
      </c>
      <c r="B41" s="208"/>
      <c r="C41" s="207" t="s">
        <v>101</v>
      </c>
      <c r="D41" s="208"/>
      <c r="E41" s="208"/>
      <c r="F41" s="207" t="s">
        <v>193</v>
      </c>
      <c r="G41" s="208"/>
      <c r="H41" s="208"/>
      <c r="I41" s="208"/>
      <c r="J41" s="208"/>
      <c r="K41" s="208"/>
      <c r="L41" s="207" t="s">
        <v>306</v>
      </c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7" t="s">
        <v>329</v>
      </c>
      <c r="AQ41" s="208"/>
      <c r="AR41" s="209">
        <v>2</v>
      </c>
      <c r="AS41" s="210"/>
      <c r="AT41" s="210"/>
      <c r="AU41" s="210"/>
      <c r="AV41" s="210"/>
      <c r="AW41" s="240"/>
      <c r="AX41" s="241"/>
      <c r="AY41" s="241"/>
      <c r="AZ41" s="241"/>
      <c r="BA41" s="241"/>
      <c r="BB41" s="241"/>
      <c r="BC41" s="241"/>
      <c r="BD41" s="241"/>
      <c r="BE41" s="209">
        <f t="shared" si="3"/>
        <v>0</v>
      </c>
      <c r="BF41" s="210"/>
      <c r="BG41" s="210"/>
      <c r="BH41" s="210"/>
      <c r="BI41" s="210"/>
      <c r="BJ41" s="210"/>
      <c r="BK41" s="210"/>
      <c r="BL41" s="210"/>
      <c r="BN41" s="135">
        <f t="shared" si="1"/>
        <v>0</v>
      </c>
      <c r="IR41" s="7">
        <f>AW41*0.860943234062291</f>
        <v>0</v>
      </c>
      <c r="IS41" s="7">
        <f>AW41*(1-0.860943234062291)</f>
        <v>0</v>
      </c>
    </row>
    <row r="42" spans="1:253" ht="12.75">
      <c r="A42" s="207" t="s">
        <v>87</v>
      </c>
      <c r="B42" s="208"/>
      <c r="C42" s="207" t="s">
        <v>101</v>
      </c>
      <c r="D42" s="208"/>
      <c r="E42" s="208"/>
      <c r="F42" s="207" t="s">
        <v>194</v>
      </c>
      <c r="G42" s="208"/>
      <c r="H42" s="208"/>
      <c r="I42" s="208"/>
      <c r="J42" s="208"/>
      <c r="K42" s="208"/>
      <c r="L42" s="207" t="s">
        <v>307</v>
      </c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7" t="s">
        <v>327</v>
      </c>
      <c r="AQ42" s="208"/>
      <c r="AR42" s="209">
        <v>2</v>
      </c>
      <c r="AS42" s="210"/>
      <c r="AT42" s="210"/>
      <c r="AU42" s="210"/>
      <c r="AV42" s="210"/>
      <c r="AW42" s="240"/>
      <c r="AX42" s="241"/>
      <c r="AY42" s="241"/>
      <c r="AZ42" s="241"/>
      <c r="BA42" s="241"/>
      <c r="BB42" s="241"/>
      <c r="BC42" s="241"/>
      <c r="BD42" s="241"/>
      <c r="BE42" s="209">
        <f>AR42*AW42</f>
        <v>0</v>
      </c>
      <c r="BF42" s="210"/>
      <c r="BG42" s="210"/>
      <c r="BH42" s="210"/>
      <c r="BI42" s="210"/>
      <c r="BJ42" s="210"/>
      <c r="BK42" s="210"/>
      <c r="BL42" s="210"/>
      <c r="BN42" s="135">
        <f t="shared" si="1"/>
        <v>0</v>
      </c>
      <c r="IR42" s="7"/>
      <c r="IS42" s="7"/>
    </row>
    <row r="43" spans="1:253" ht="12.75">
      <c r="A43" s="207" t="s">
        <v>88</v>
      </c>
      <c r="B43" s="208"/>
      <c r="C43" s="207" t="s">
        <v>101</v>
      </c>
      <c r="D43" s="208"/>
      <c r="E43" s="208"/>
      <c r="F43" s="207" t="s">
        <v>462</v>
      </c>
      <c r="G43" s="208"/>
      <c r="H43" s="208"/>
      <c r="I43" s="208"/>
      <c r="J43" s="208"/>
      <c r="K43" s="208"/>
      <c r="L43" s="207" t="s">
        <v>461</v>
      </c>
      <c r="M43" s="208"/>
      <c r="N43" s="208"/>
      <c r="O43" s="208"/>
      <c r="P43" s="208"/>
      <c r="Q43" s="208"/>
      <c r="R43" s="208"/>
      <c r="S43" s="208"/>
      <c r="T43" s="208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7" t="s">
        <v>327</v>
      </c>
      <c r="AQ43" s="208"/>
      <c r="AR43" s="209">
        <v>1</v>
      </c>
      <c r="AS43" s="210"/>
      <c r="AT43" s="210"/>
      <c r="AU43" s="210"/>
      <c r="AV43" s="210"/>
      <c r="AW43" s="240"/>
      <c r="AX43" s="241"/>
      <c r="AY43" s="241"/>
      <c r="AZ43" s="241"/>
      <c r="BA43" s="241"/>
      <c r="BB43" s="241"/>
      <c r="BC43" s="241"/>
      <c r="BD43" s="241"/>
      <c r="BE43" s="209">
        <f t="shared" si="3"/>
        <v>0</v>
      </c>
      <c r="BF43" s="210"/>
      <c r="BG43" s="210"/>
      <c r="BH43" s="210"/>
      <c r="BI43" s="210"/>
      <c r="BJ43" s="210"/>
      <c r="BK43" s="210"/>
      <c r="BL43" s="210"/>
      <c r="BN43" s="135">
        <f t="shared" si="1"/>
        <v>0</v>
      </c>
      <c r="IR43" s="7">
        <f>AW43*0.894168852697694</f>
        <v>0</v>
      </c>
      <c r="IS43" s="7">
        <f>AW43*(1-0.894168852697694)</f>
        <v>0</v>
      </c>
    </row>
    <row r="44" spans="1:64" ht="12.75">
      <c r="A44" s="202" t="s">
        <v>6</v>
      </c>
      <c r="B44" s="203"/>
      <c r="C44" s="202" t="s">
        <v>6</v>
      </c>
      <c r="D44" s="203"/>
      <c r="E44" s="203"/>
      <c r="F44" s="202" t="s">
        <v>95</v>
      </c>
      <c r="G44" s="203"/>
      <c r="H44" s="203"/>
      <c r="I44" s="203"/>
      <c r="J44" s="203"/>
      <c r="K44" s="203"/>
      <c r="L44" s="202" t="s">
        <v>308</v>
      </c>
      <c r="M44" s="203"/>
      <c r="N44" s="203"/>
      <c r="O44" s="203"/>
      <c r="P44" s="203"/>
      <c r="Q44" s="203"/>
      <c r="R44" s="203"/>
      <c r="S44" s="203"/>
      <c r="T44" s="203"/>
      <c r="U44" s="203"/>
      <c r="V44" s="203"/>
      <c r="W44" s="203"/>
      <c r="X44" s="203"/>
      <c r="Y44" s="203"/>
      <c r="Z44" s="203"/>
      <c r="AA44" s="203"/>
      <c r="AB44" s="203"/>
      <c r="AC44" s="203"/>
      <c r="AD44" s="203"/>
      <c r="AE44" s="203"/>
      <c r="AF44" s="203"/>
      <c r="AG44" s="203"/>
      <c r="AH44" s="203"/>
      <c r="AI44" s="203"/>
      <c r="AJ44" s="203"/>
      <c r="AK44" s="203"/>
      <c r="AL44" s="203"/>
      <c r="AM44" s="203"/>
      <c r="AN44" s="203"/>
      <c r="AO44" s="203"/>
      <c r="AP44" s="202" t="s">
        <v>6</v>
      </c>
      <c r="AQ44" s="203"/>
      <c r="AR44" s="204" t="s">
        <v>6</v>
      </c>
      <c r="AS44" s="205"/>
      <c r="AT44" s="205"/>
      <c r="AU44" s="205"/>
      <c r="AV44" s="205"/>
      <c r="AW44" s="204" t="s">
        <v>6</v>
      </c>
      <c r="AX44" s="205"/>
      <c r="AY44" s="205"/>
      <c r="AZ44" s="205"/>
      <c r="BA44" s="205"/>
      <c r="BB44" s="205"/>
      <c r="BC44" s="205"/>
      <c r="BD44" s="205"/>
      <c r="BE44" s="206">
        <f>SUM(BE45:BE45)</f>
        <v>0</v>
      </c>
      <c r="BF44" s="205"/>
      <c r="BG44" s="205"/>
      <c r="BH44" s="205"/>
      <c r="BI44" s="205"/>
      <c r="BJ44" s="205"/>
      <c r="BK44" s="205"/>
      <c r="BL44" s="205"/>
    </row>
    <row r="45" spans="1:253" ht="12.75">
      <c r="A45" s="207" t="s">
        <v>89</v>
      </c>
      <c r="B45" s="208"/>
      <c r="C45" s="207" t="s">
        <v>101</v>
      </c>
      <c r="D45" s="208"/>
      <c r="E45" s="208"/>
      <c r="F45" s="207" t="s">
        <v>195</v>
      </c>
      <c r="G45" s="208"/>
      <c r="H45" s="208"/>
      <c r="I45" s="208"/>
      <c r="J45" s="208"/>
      <c r="K45" s="208"/>
      <c r="L45" s="207" t="s">
        <v>309</v>
      </c>
      <c r="M45" s="208"/>
      <c r="N45" s="208"/>
      <c r="O45" s="208"/>
      <c r="P45" s="208"/>
      <c r="Q45" s="208"/>
      <c r="R45" s="208"/>
      <c r="S45" s="208"/>
      <c r="T45" s="208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7" t="s">
        <v>328</v>
      </c>
      <c r="AQ45" s="208"/>
      <c r="AR45" s="209">
        <v>20.5</v>
      </c>
      <c r="AS45" s="210"/>
      <c r="AT45" s="210"/>
      <c r="AU45" s="210"/>
      <c r="AV45" s="210"/>
      <c r="AW45" s="240"/>
      <c r="AX45" s="241"/>
      <c r="AY45" s="241"/>
      <c r="AZ45" s="241"/>
      <c r="BA45" s="241"/>
      <c r="BB45" s="241"/>
      <c r="BC45" s="241"/>
      <c r="BD45" s="241"/>
      <c r="BE45" s="209">
        <f>AR45*AW45</f>
        <v>0</v>
      </c>
      <c r="BF45" s="210"/>
      <c r="BG45" s="210"/>
      <c r="BH45" s="210"/>
      <c r="BI45" s="210"/>
      <c r="BJ45" s="210"/>
      <c r="BK45" s="210"/>
      <c r="BL45" s="210"/>
      <c r="BN45" s="135">
        <f t="shared" si="1"/>
        <v>0</v>
      </c>
      <c r="IR45" s="7">
        <f>AW45*0.0595833333333333</f>
        <v>0</v>
      </c>
      <c r="IS45" s="7">
        <f>AW45*(1-0.0595833333333333)</f>
        <v>0</v>
      </c>
    </row>
    <row r="46" spans="1:64" ht="12.75">
      <c r="A46" s="202" t="s">
        <v>6</v>
      </c>
      <c r="B46" s="203"/>
      <c r="C46" s="202" t="s">
        <v>6</v>
      </c>
      <c r="D46" s="203"/>
      <c r="E46" s="203"/>
      <c r="F46" s="202" t="s">
        <v>196</v>
      </c>
      <c r="G46" s="203"/>
      <c r="H46" s="203"/>
      <c r="I46" s="203"/>
      <c r="J46" s="203"/>
      <c r="K46" s="203"/>
      <c r="L46" s="202" t="s">
        <v>310</v>
      </c>
      <c r="M46" s="203"/>
      <c r="N46" s="203"/>
      <c r="O46" s="203"/>
      <c r="P46" s="203"/>
      <c r="Q46" s="203"/>
      <c r="R46" s="203"/>
      <c r="S46" s="203"/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203"/>
      <c r="AK46" s="203"/>
      <c r="AL46" s="203"/>
      <c r="AM46" s="203"/>
      <c r="AN46" s="203"/>
      <c r="AO46" s="203"/>
      <c r="AP46" s="202" t="s">
        <v>6</v>
      </c>
      <c r="AQ46" s="203"/>
      <c r="AR46" s="204" t="s">
        <v>6</v>
      </c>
      <c r="AS46" s="205"/>
      <c r="AT46" s="205"/>
      <c r="AU46" s="205"/>
      <c r="AV46" s="205"/>
      <c r="AW46" s="204" t="s">
        <v>6</v>
      </c>
      <c r="AX46" s="205"/>
      <c r="AY46" s="205"/>
      <c r="AZ46" s="205"/>
      <c r="BA46" s="205"/>
      <c r="BB46" s="205"/>
      <c r="BC46" s="205"/>
      <c r="BD46" s="205"/>
      <c r="BE46" s="225">
        <f>SUM(BE47:BE55)</f>
        <v>0</v>
      </c>
      <c r="BF46" s="226"/>
      <c r="BG46" s="226"/>
      <c r="BH46" s="226"/>
      <c r="BI46" s="226"/>
      <c r="BJ46" s="226"/>
      <c r="BK46" s="226"/>
      <c r="BL46" s="226"/>
    </row>
    <row r="47" spans="1:253" ht="12.75">
      <c r="A47" s="207" t="s">
        <v>90</v>
      </c>
      <c r="B47" s="208"/>
      <c r="C47" s="207" t="s">
        <v>101</v>
      </c>
      <c r="D47" s="208"/>
      <c r="E47" s="208"/>
      <c r="F47" s="207" t="s">
        <v>197</v>
      </c>
      <c r="G47" s="208"/>
      <c r="H47" s="208"/>
      <c r="I47" s="208"/>
      <c r="J47" s="208"/>
      <c r="K47" s="208"/>
      <c r="L47" s="207" t="s">
        <v>311</v>
      </c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7" t="s">
        <v>328</v>
      </c>
      <c r="AQ47" s="208"/>
      <c r="AR47" s="209">
        <v>70</v>
      </c>
      <c r="AS47" s="210"/>
      <c r="AT47" s="210"/>
      <c r="AU47" s="210"/>
      <c r="AV47" s="210"/>
      <c r="AW47" s="240"/>
      <c r="AX47" s="241"/>
      <c r="AY47" s="241"/>
      <c r="AZ47" s="241"/>
      <c r="BA47" s="241"/>
      <c r="BB47" s="241"/>
      <c r="BC47" s="241"/>
      <c r="BD47" s="241"/>
      <c r="BE47" s="209">
        <f>AR47*AW47</f>
        <v>0</v>
      </c>
      <c r="BF47" s="210"/>
      <c r="BG47" s="210"/>
      <c r="BH47" s="210"/>
      <c r="BI47" s="210"/>
      <c r="BJ47" s="210"/>
      <c r="BK47" s="210"/>
      <c r="BL47" s="210"/>
      <c r="BN47" s="135">
        <f t="shared" si="1"/>
        <v>0</v>
      </c>
      <c r="IR47" s="7">
        <f>AW47*0.24177449168207</f>
        <v>0</v>
      </c>
      <c r="IS47" s="7">
        <f>AW47*(1-0.24177449168207)</f>
        <v>0</v>
      </c>
    </row>
    <row r="48" spans="1:253" ht="12.75">
      <c r="A48" s="207" t="s">
        <v>91</v>
      </c>
      <c r="B48" s="208"/>
      <c r="C48" s="207" t="s">
        <v>101</v>
      </c>
      <c r="D48" s="208"/>
      <c r="E48" s="208"/>
      <c r="F48" s="207" t="s">
        <v>198</v>
      </c>
      <c r="G48" s="208"/>
      <c r="H48" s="208"/>
      <c r="I48" s="208"/>
      <c r="J48" s="208"/>
      <c r="K48" s="208"/>
      <c r="L48" s="207" t="s">
        <v>312</v>
      </c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7" t="s">
        <v>328</v>
      </c>
      <c r="AQ48" s="208"/>
      <c r="AR48" s="209">
        <v>30</v>
      </c>
      <c r="AS48" s="210"/>
      <c r="AT48" s="210"/>
      <c r="AU48" s="210"/>
      <c r="AV48" s="210"/>
      <c r="AW48" s="240"/>
      <c r="AX48" s="241"/>
      <c r="AY48" s="241"/>
      <c r="AZ48" s="241"/>
      <c r="BA48" s="241"/>
      <c r="BB48" s="241"/>
      <c r="BC48" s="241"/>
      <c r="BD48" s="241"/>
      <c r="BE48" s="209">
        <f aca="true" t="shared" si="4" ref="BE48:BE55">AR48*AW48</f>
        <v>0</v>
      </c>
      <c r="BF48" s="210"/>
      <c r="BG48" s="210"/>
      <c r="BH48" s="210"/>
      <c r="BI48" s="210"/>
      <c r="BJ48" s="210"/>
      <c r="BK48" s="210"/>
      <c r="BL48" s="210"/>
      <c r="BN48" s="135">
        <f t="shared" si="1"/>
        <v>0</v>
      </c>
      <c r="IR48" s="7">
        <f>AW48*0.340353697749196</f>
        <v>0</v>
      </c>
      <c r="IS48" s="7">
        <f>AW48*(1-0.340353697749196)</f>
        <v>0</v>
      </c>
    </row>
    <row r="49" spans="1:253" ht="12.75">
      <c r="A49" s="207" t="s">
        <v>92</v>
      </c>
      <c r="B49" s="208"/>
      <c r="C49" s="207" t="s">
        <v>101</v>
      </c>
      <c r="D49" s="208"/>
      <c r="E49" s="208"/>
      <c r="F49" s="207" t="s">
        <v>199</v>
      </c>
      <c r="G49" s="208"/>
      <c r="H49" s="208"/>
      <c r="I49" s="208"/>
      <c r="J49" s="208"/>
      <c r="K49" s="208"/>
      <c r="L49" s="207" t="s">
        <v>313</v>
      </c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7" t="s">
        <v>332</v>
      </c>
      <c r="AQ49" s="208"/>
      <c r="AR49" s="209">
        <v>3</v>
      </c>
      <c r="AS49" s="210"/>
      <c r="AT49" s="210"/>
      <c r="AU49" s="210"/>
      <c r="AV49" s="210"/>
      <c r="AW49" s="240"/>
      <c r="AX49" s="241"/>
      <c r="AY49" s="241"/>
      <c r="AZ49" s="241"/>
      <c r="BA49" s="241"/>
      <c r="BB49" s="241"/>
      <c r="BC49" s="241"/>
      <c r="BD49" s="241"/>
      <c r="BE49" s="209">
        <f t="shared" si="4"/>
        <v>0</v>
      </c>
      <c r="BF49" s="210"/>
      <c r="BG49" s="210"/>
      <c r="BH49" s="210"/>
      <c r="BI49" s="210"/>
      <c r="BJ49" s="210"/>
      <c r="BK49" s="210"/>
      <c r="BL49" s="210"/>
      <c r="BN49" s="135">
        <f t="shared" si="1"/>
        <v>0</v>
      </c>
      <c r="IR49" s="7">
        <f>AW49*1</f>
        <v>0</v>
      </c>
      <c r="IS49" s="7">
        <f>AW49*(1-1)</f>
        <v>0</v>
      </c>
    </row>
    <row r="50" spans="1:253" ht="12.75">
      <c r="A50" s="207" t="s">
        <v>93</v>
      </c>
      <c r="B50" s="208"/>
      <c r="C50" s="207" t="s">
        <v>101</v>
      </c>
      <c r="D50" s="208"/>
      <c r="E50" s="208"/>
      <c r="F50" s="207" t="s">
        <v>200</v>
      </c>
      <c r="G50" s="208"/>
      <c r="H50" s="208"/>
      <c r="I50" s="208"/>
      <c r="J50" s="208"/>
      <c r="K50" s="208"/>
      <c r="L50" s="207" t="s">
        <v>314</v>
      </c>
      <c r="M50" s="208"/>
      <c r="N50" s="208"/>
      <c r="O50" s="208"/>
      <c r="P50" s="208"/>
      <c r="Q50" s="208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7" t="s">
        <v>332</v>
      </c>
      <c r="AQ50" s="208"/>
      <c r="AR50" s="209">
        <v>4</v>
      </c>
      <c r="AS50" s="210"/>
      <c r="AT50" s="210"/>
      <c r="AU50" s="210"/>
      <c r="AV50" s="210"/>
      <c r="AW50" s="240"/>
      <c r="AX50" s="241"/>
      <c r="AY50" s="241"/>
      <c r="AZ50" s="241"/>
      <c r="BA50" s="241"/>
      <c r="BB50" s="241"/>
      <c r="BC50" s="241"/>
      <c r="BD50" s="241"/>
      <c r="BE50" s="209">
        <f t="shared" si="4"/>
        <v>0</v>
      </c>
      <c r="BF50" s="210"/>
      <c r="BG50" s="210"/>
      <c r="BH50" s="210"/>
      <c r="BI50" s="210"/>
      <c r="BJ50" s="210"/>
      <c r="BK50" s="210"/>
      <c r="BL50" s="210"/>
      <c r="BN50" s="135">
        <f t="shared" si="1"/>
        <v>0</v>
      </c>
      <c r="IR50" s="7">
        <f>AW50*1</f>
        <v>0</v>
      </c>
      <c r="IS50" s="7">
        <f>AW50*(1-1)</f>
        <v>0</v>
      </c>
    </row>
    <row r="51" spans="1:253" ht="12.75">
      <c r="A51" s="207" t="s">
        <v>94</v>
      </c>
      <c r="B51" s="208"/>
      <c r="C51" s="207" t="s">
        <v>101</v>
      </c>
      <c r="D51" s="208"/>
      <c r="E51" s="208"/>
      <c r="F51" s="207" t="s">
        <v>201</v>
      </c>
      <c r="G51" s="208"/>
      <c r="H51" s="208"/>
      <c r="I51" s="208"/>
      <c r="J51" s="208"/>
      <c r="K51" s="208"/>
      <c r="L51" s="207" t="s">
        <v>315</v>
      </c>
      <c r="M51" s="208"/>
      <c r="N51" s="208"/>
      <c r="O51" s="208"/>
      <c r="P51" s="208"/>
      <c r="Q51" s="208"/>
      <c r="R51" s="208"/>
      <c r="S51" s="208"/>
      <c r="T51" s="208"/>
      <c r="U51" s="208"/>
      <c r="V51" s="208"/>
      <c r="W51" s="208"/>
      <c r="X51" s="208"/>
      <c r="Y51" s="208"/>
      <c r="Z51" s="208"/>
      <c r="AA51" s="208"/>
      <c r="AB51" s="208"/>
      <c r="AC51" s="208"/>
      <c r="AD51" s="208"/>
      <c r="AE51" s="208"/>
      <c r="AF51" s="208"/>
      <c r="AG51" s="208"/>
      <c r="AH51" s="208"/>
      <c r="AI51" s="208"/>
      <c r="AJ51" s="208"/>
      <c r="AK51" s="208"/>
      <c r="AL51" s="208"/>
      <c r="AM51" s="208"/>
      <c r="AN51" s="208"/>
      <c r="AO51" s="208"/>
      <c r="AP51" s="207" t="s">
        <v>332</v>
      </c>
      <c r="AQ51" s="208"/>
      <c r="AR51" s="209">
        <v>4</v>
      </c>
      <c r="AS51" s="210"/>
      <c r="AT51" s="210"/>
      <c r="AU51" s="210"/>
      <c r="AV51" s="210"/>
      <c r="AW51" s="240"/>
      <c r="AX51" s="241"/>
      <c r="AY51" s="241"/>
      <c r="AZ51" s="241"/>
      <c r="BA51" s="241"/>
      <c r="BB51" s="241"/>
      <c r="BC51" s="241"/>
      <c r="BD51" s="241"/>
      <c r="BE51" s="209">
        <f t="shared" si="4"/>
        <v>0</v>
      </c>
      <c r="BF51" s="210"/>
      <c r="BG51" s="210"/>
      <c r="BH51" s="210"/>
      <c r="BI51" s="210"/>
      <c r="BJ51" s="210"/>
      <c r="BK51" s="210"/>
      <c r="BL51" s="210"/>
      <c r="BN51" s="135">
        <f t="shared" si="1"/>
        <v>0</v>
      </c>
      <c r="IR51" s="7">
        <f>AW51*1</f>
        <v>0</v>
      </c>
      <c r="IS51" s="7">
        <f>AW51*(1-1)</f>
        <v>0</v>
      </c>
    </row>
    <row r="52" spans="1:253" ht="12.75">
      <c r="A52" s="207" t="s">
        <v>95</v>
      </c>
      <c r="B52" s="208"/>
      <c r="C52" s="207" t="s">
        <v>101</v>
      </c>
      <c r="D52" s="208"/>
      <c r="E52" s="208"/>
      <c r="F52" s="207" t="s">
        <v>202</v>
      </c>
      <c r="G52" s="208"/>
      <c r="H52" s="208"/>
      <c r="I52" s="208"/>
      <c r="J52" s="208"/>
      <c r="K52" s="208"/>
      <c r="L52" s="207" t="s">
        <v>316</v>
      </c>
      <c r="M52" s="208"/>
      <c r="N52" s="208"/>
      <c r="O52" s="208"/>
      <c r="P52" s="208"/>
      <c r="Q52" s="208"/>
      <c r="R52" s="208"/>
      <c r="S52" s="208"/>
      <c r="T52" s="208"/>
      <c r="U52" s="208"/>
      <c r="V52" s="208"/>
      <c r="W52" s="208"/>
      <c r="X52" s="208"/>
      <c r="Y52" s="208"/>
      <c r="Z52" s="208"/>
      <c r="AA52" s="208"/>
      <c r="AB52" s="208"/>
      <c r="AC52" s="208"/>
      <c r="AD52" s="208"/>
      <c r="AE52" s="208"/>
      <c r="AF52" s="208"/>
      <c r="AG52" s="208"/>
      <c r="AH52" s="208"/>
      <c r="AI52" s="208"/>
      <c r="AJ52" s="208"/>
      <c r="AK52" s="208"/>
      <c r="AL52" s="208"/>
      <c r="AM52" s="208"/>
      <c r="AN52" s="208"/>
      <c r="AO52" s="208"/>
      <c r="AP52" s="207" t="s">
        <v>326</v>
      </c>
      <c r="AQ52" s="208"/>
      <c r="AR52" s="209">
        <v>1</v>
      </c>
      <c r="AS52" s="210"/>
      <c r="AT52" s="210"/>
      <c r="AU52" s="210"/>
      <c r="AV52" s="210"/>
      <c r="AW52" s="240"/>
      <c r="AX52" s="241"/>
      <c r="AY52" s="241"/>
      <c r="AZ52" s="241"/>
      <c r="BA52" s="241"/>
      <c r="BB52" s="241"/>
      <c r="BC52" s="241"/>
      <c r="BD52" s="241"/>
      <c r="BE52" s="209">
        <f t="shared" si="4"/>
        <v>0</v>
      </c>
      <c r="BF52" s="210"/>
      <c r="BG52" s="210"/>
      <c r="BH52" s="210"/>
      <c r="BI52" s="210"/>
      <c r="BJ52" s="210"/>
      <c r="BK52" s="210"/>
      <c r="BL52" s="210"/>
      <c r="BN52" s="135">
        <f t="shared" si="1"/>
        <v>0</v>
      </c>
      <c r="IR52" s="7">
        <f>AW52*0</f>
        <v>0</v>
      </c>
      <c r="IS52" s="7">
        <f>AW52*(1-0)</f>
        <v>0</v>
      </c>
    </row>
    <row r="53" spans="1:253" ht="12.75">
      <c r="A53" s="207" t="s">
        <v>96</v>
      </c>
      <c r="B53" s="208"/>
      <c r="C53" s="207" t="s">
        <v>101</v>
      </c>
      <c r="D53" s="208"/>
      <c r="E53" s="208"/>
      <c r="F53" s="207" t="s">
        <v>203</v>
      </c>
      <c r="G53" s="208"/>
      <c r="H53" s="208"/>
      <c r="I53" s="208"/>
      <c r="J53" s="208"/>
      <c r="K53" s="208"/>
      <c r="L53" s="207" t="s">
        <v>317</v>
      </c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7" t="s">
        <v>326</v>
      </c>
      <c r="AQ53" s="208"/>
      <c r="AR53" s="209">
        <v>1</v>
      </c>
      <c r="AS53" s="210"/>
      <c r="AT53" s="210"/>
      <c r="AU53" s="210"/>
      <c r="AV53" s="210"/>
      <c r="AW53" s="240"/>
      <c r="AX53" s="241"/>
      <c r="AY53" s="241"/>
      <c r="AZ53" s="241"/>
      <c r="BA53" s="241"/>
      <c r="BB53" s="241"/>
      <c r="BC53" s="241"/>
      <c r="BD53" s="241"/>
      <c r="BE53" s="209">
        <f t="shared" si="4"/>
        <v>0</v>
      </c>
      <c r="BF53" s="210"/>
      <c r="BG53" s="210"/>
      <c r="BH53" s="210"/>
      <c r="BI53" s="210"/>
      <c r="BJ53" s="210"/>
      <c r="BK53" s="210"/>
      <c r="BL53" s="210"/>
      <c r="BN53" s="135">
        <f t="shared" si="1"/>
        <v>0</v>
      </c>
      <c r="IR53" s="7">
        <f>AW53*1</f>
        <v>0</v>
      </c>
      <c r="IS53" s="7">
        <f>AW53*(1-1)</f>
        <v>0</v>
      </c>
    </row>
    <row r="54" spans="1:253" ht="12.75">
      <c r="A54" s="207" t="s">
        <v>97</v>
      </c>
      <c r="B54" s="208"/>
      <c r="C54" s="207" t="s">
        <v>101</v>
      </c>
      <c r="D54" s="208"/>
      <c r="E54" s="208"/>
      <c r="F54" s="207" t="s">
        <v>204</v>
      </c>
      <c r="G54" s="208"/>
      <c r="H54" s="208"/>
      <c r="I54" s="208"/>
      <c r="J54" s="208"/>
      <c r="K54" s="208"/>
      <c r="L54" s="207" t="s">
        <v>318</v>
      </c>
      <c r="M54" s="208"/>
      <c r="N54" s="208"/>
      <c r="O54" s="208"/>
      <c r="P54" s="208"/>
      <c r="Q54" s="208"/>
      <c r="R54" s="208"/>
      <c r="S54" s="208"/>
      <c r="T54" s="208"/>
      <c r="U54" s="208"/>
      <c r="V54" s="208"/>
      <c r="W54" s="208"/>
      <c r="X54" s="208"/>
      <c r="Y54" s="208"/>
      <c r="Z54" s="208"/>
      <c r="AA54" s="208"/>
      <c r="AB54" s="208"/>
      <c r="AC54" s="208"/>
      <c r="AD54" s="208"/>
      <c r="AE54" s="208"/>
      <c r="AF54" s="208"/>
      <c r="AG54" s="208"/>
      <c r="AH54" s="208"/>
      <c r="AI54" s="208"/>
      <c r="AJ54" s="208"/>
      <c r="AK54" s="208"/>
      <c r="AL54" s="208"/>
      <c r="AM54" s="208"/>
      <c r="AN54" s="208"/>
      <c r="AO54" s="208"/>
      <c r="AP54" s="207" t="s">
        <v>332</v>
      </c>
      <c r="AQ54" s="208"/>
      <c r="AR54" s="209">
        <v>1</v>
      </c>
      <c r="AS54" s="210"/>
      <c r="AT54" s="210"/>
      <c r="AU54" s="210"/>
      <c r="AV54" s="210"/>
      <c r="AW54" s="240"/>
      <c r="AX54" s="241"/>
      <c r="AY54" s="241"/>
      <c r="AZ54" s="241"/>
      <c r="BA54" s="241"/>
      <c r="BB54" s="241"/>
      <c r="BC54" s="241"/>
      <c r="BD54" s="241"/>
      <c r="BE54" s="209">
        <f t="shared" si="4"/>
        <v>0</v>
      </c>
      <c r="BF54" s="210"/>
      <c r="BG54" s="210"/>
      <c r="BH54" s="210"/>
      <c r="BI54" s="210"/>
      <c r="BJ54" s="210"/>
      <c r="BK54" s="210"/>
      <c r="BL54" s="210"/>
      <c r="BN54" s="135">
        <f t="shared" si="1"/>
        <v>0</v>
      </c>
      <c r="IR54" s="7">
        <f>AW54*1</f>
        <v>0</v>
      </c>
      <c r="IS54" s="7">
        <f>AW54*(1-1)</f>
        <v>0</v>
      </c>
    </row>
    <row r="55" spans="1:253" ht="12.75">
      <c r="A55" s="207" t="s">
        <v>460</v>
      </c>
      <c r="B55" s="208"/>
      <c r="C55" s="207" t="s">
        <v>101</v>
      </c>
      <c r="D55" s="208"/>
      <c r="E55" s="208"/>
      <c r="F55" s="207" t="s">
        <v>205</v>
      </c>
      <c r="G55" s="208"/>
      <c r="H55" s="208"/>
      <c r="I55" s="208"/>
      <c r="J55" s="208"/>
      <c r="K55" s="208"/>
      <c r="L55" s="207" t="s">
        <v>319</v>
      </c>
      <c r="M55" s="208"/>
      <c r="N55" s="208"/>
      <c r="O55" s="208"/>
      <c r="P55" s="208"/>
      <c r="Q55" s="208"/>
      <c r="R55" s="208"/>
      <c r="S55" s="208"/>
      <c r="T55" s="208"/>
      <c r="U55" s="208"/>
      <c r="V55" s="208"/>
      <c r="W55" s="208"/>
      <c r="X55" s="208"/>
      <c r="Y55" s="208"/>
      <c r="Z55" s="208"/>
      <c r="AA55" s="208"/>
      <c r="AB55" s="208"/>
      <c r="AC55" s="208"/>
      <c r="AD55" s="208"/>
      <c r="AE55" s="208"/>
      <c r="AF55" s="208"/>
      <c r="AG55" s="208"/>
      <c r="AH55" s="208"/>
      <c r="AI55" s="208"/>
      <c r="AJ55" s="208"/>
      <c r="AK55" s="208"/>
      <c r="AL55" s="208"/>
      <c r="AM55" s="208"/>
      <c r="AN55" s="208"/>
      <c r="AO55" s="208"/>
      <c r="AP55" s="207" t="s">
        <v>332</v>
      </c>
      <c r="AQ55" s="208"/>
      <c r="AR55" s="209">
        <v>1</v>
      </c>
      <c r="AS55" s="210"/>
      <c r="AT55" s="210"/>
      <c r="AU55" s="210"/>
      <c r="AV55" s="210"/>
      <c r="AW55" s="240"/>
      <c r="AX55" s="241"/>
      <c r="AY55" s="241"/>
      <c r="AZ55" s="241"/>
      <c r="BA55" s="241"/>
      <c r="BB55" s="241"/>
      <c r="BC55" s="241"/>
      <c r="BD55" s="241"/>
      <c r="BE55" s="209">
        <f t="shared" si="4"/>
        <v>0</v>
      </c>
      <c r="BF55" s="210"/>
      <c r="BG55" s="210"/>
      <c r="BH55" s="210"/>
      <c r="BI55" s="210"/>
      <c r="BJ55" s="210"/>
      <c r="BK55" s="210"/>
      <c r="BL55" s="210"/>
      <c r="BN55" s="135">
        <f t="shared" si="1"/>
        <v>0</v>
      </c>
      <c r="IR55" s="7">
        <f>AW55*0</f>
        <v>0</v>
      </c>
      <c r="IS55" s="7">
        <f>AW55*(1-0)</f>
        <v>0</v>
      </c>
    </row>
    <row r="57" spans="49:66" ht="12.75">
      <c r="AW57" s="211" t="s">
        <v>339</v>
      </c>
      <c r="AX57" s="155"/>
      <c r="AY57" s="155"/>
      <c r="AZ57" s="155"/>
      <c r="BA57" s="155"/>
      <c r="BB57" s="155"/>
      <c r="BC57" s="155"/>
      <c r="BD57" s="155"/>
      <c r="BE57" s="212">
        <f>BE46+BE44+BE33+BE20+BE12</f>
        <v>0</v>
      </c>
      <c r="BF57" s="213"/>
      <c r="BG57" s="213"/>
      <c r="BH57" s="213"/>
      <c r="BI57" s="213"/>
      <c r="BJ57" s="213"/>
      <c r="BK57" s="213"/>
      <c r="BL57" s="213"/>
      <c r="BN57" s="135">
        <f>SUM(BN13:BN55)</f>
        <v>0</v>
      </c>
    </row>
  </sheetData>
  <sheetProtection sheet="1"/>
  <mergeCells count="395">
    <mergeCell ref="AW42:BD42"/>
    <mergeCell ref="BE42:BL42"/>
    <mergeCell ref="A42:B42"/>
    <mergeCell ref="C42:E42"/>
    <mergeCell ref="F42:K42"/>
    <mergeCell ref="L42:AO42"/>
    <mergeCell ref="AP42:AQ42"/>
    <mergeCell ref="AR42:AV42"/>
    <mergeCell ref="AW57:BD57"/>
    <mergeCell ref="BE57:BL57"/>
    <mergeCell ref="AW54:BD54"/>
    <mergeCell ref="BE54:BL54"/>
    <mergeCell ref="A55:B55"/>
    <mergeCell ref="C55:E55"/>
    <mergeCell ref="F55:K55"/>
    <mergeCell ref="L55:AO55"/>
    <mergeCell ref="AP55:AQ55"/>
    <mergeCell ref="AR55:AV55"/>
    <mergeCell ref="AW55:BD55"/>
    <mergeCell ref="BE55:BL55"/>
    <mergeCell ref="A54:B54"/>
    <mergeCell ref="C54:E54"/>
    <mergeCell ref="F54:K54"/>
    <mergeCell ref="L54:AO54"/>
    <mergeCell ref="AP54:AQ54"/>
    <mergeCell ref="AR54:AV54"/>
    <mergeCell ref="AW52:BD52"/>
    <mergeCell ref="BE52:BL52"/>
    <mergeCell ref="A53:B53"/>
    <mergeCell ref="C53:E53"/>
    <mergeCell ref="F53:K53"/>
    <mergeCell ref="L53:AO53"/>
    <mergeCell ref="AP53:AQ53"/>
    <mergeCell ref="AR53:AV53"/>
    <mergeCell ref="AW53:BD53"/>
    <mergeCell ref="BE53:BL53"/>
    <mergeCell ref="A52:B52"/>
    <mergeCell ref="C52:E52"/>
    <mergeCell ref="F52:K52"/>
    <mergeCell ref="L52:AO52"/>
    <mergeCell ref="AP52:AQ52"/>
    <mergeCell ref="AR52:AV52"/>
    <mergeCell ref="AW50:BD50"/>
    <mergeCell ref="BE50:BL50"/>
    <mergeCell ref="A51:B51"/>
    <mergeCell ref="C51:E51"/>
    <mergeCell ref="F51:K51"/>
    <mergeCell ref="L51:AO51"/>
    <mergeCell ref="AP51:AQ51"/>
    <mergeCell ref="AR51:AV51"/>
    <mergeCell ref="AW51:BD51"/>
    <mergeCell ref="BE51:BL51"/>
    <mergeCell ref="A50:B50"/>
    <mergeCell ref="C50:E50"/>
    <mergeCell ref="F50:K50"/>
    <mergeCell ref="L50:AO50"/>
    <mergeCell ref="AP50:AQ50"/>
    <mergeCell ref="AR50:AV50"/>
    <mergeCell ref="AW48:BD48"/>
    <mergeCell ref="BE48:BL48"/>
    <mergeCell ref="A49:B49"/>
    <mergeCell ref="C49:E49"/>
    <mergeCell ref="F49:K49"/>
    <mergeCell ref="L49:AO49"/>
    <mergeCell ref="AP49:AQ49"/>
    <mergeCell ref="AR49:AV49"/>
    <mergeCell ref="AW49:BD49"/>
    <mergeCell ref="BE49:BL49"/>
    <mergeCell ref="A48:B48"/>
    <mergeCell ref="C48:E48"/>
    <mergeCell ref="F48:K48"/>
    <mergeCell ref="L48:AO48"/>
    <mergeCell ref="AP48:AQ48"/>
    <mergeCell ref="AR48:AV48"/>
    <mergeCell ref="AW46:BD46"/>
    <mergeCell ref="BE46:BL46"/>
    <mergeCell ref="A47:B47"/>
    <mergeCell ref="C47:E47"/>
    <mergeCell ref="F47:K47"/>
    <mergeCell ref="L47:AO47"/>
    <mergeCell ref="AP47:AQ47"/>
    <mergeCell ref="AR47:AV47"/>
    <mergeCell ref="AW47:BD47"/>
    <mergeCell ref="BE47:BL47"/>
    <mergeCell ref="A46:B46"/>
    <mergeCell ref="C46:E46"/>
    <mergeCell ref="F46:K46"/>
    <mergeCell ref="L46:AO46"/>
    <mergeCell ref="AP46:AQ46"/>
    <mergeCell ref="AR46:AV46"/>
    <mergeCell ref="AW44:BD44"/>
    <mergeCell ref="BE44:BL44"/>
    <mergeCell ref="A45:B45"/>
    <mergeCell ref="C45:E45"/>
    <mergeCell ref="F45:K45"/>
    <mergeCell ref="L45:AO45"/>
    <mergeCell ref="AP45:AQ45"/>
    <mergeCell ref="AR45:AV45"/>
    <mergeCell ref="AW45:BD45"/>
    <mergeCell ref="BE45:BL45"/>
    <mergeCell ref="A44:B44"/>
    <mergeCell ref="C44:E44"/>
    <mergeCell ref="F44:K44"/>
    <mergeCell ref="L44:AO44"/>
    <mergeCell ref="AP44:AQ44"/>
    <mergeCell ref="AR44:AV44"/>
    <mergeCell ref="AW41:BD41"/>
    <mergeCell ref="BE41:BL41"/>
    <mergeCell ref="A43:B43"/>
    <mergeCell ref="C43:E43"/>
    <mergeCell ref="F43:K43"/>
    <mergeCell ref="L43:AO43"/>
    <mergeCell ref="AP43:AQ43"/>
    <mergeCell ref="AR43:AV43"/>
    <mergeCell ref="AW43:BD43"/>
    <mergeCell ref="BE43:BL43"/>
    <mergeCell ref="A41:B41"/>
    <mergeCell ref="C41:E41"/>
    <mergeCell ref="F41:K41"/>
    <mergeCell ref="L41:AO41"/>
    <mergeCell ref="AP41:AQ41"/>
    <mergeCell ref="AR41:AV41"/>
    <mergeCell ref="AW39:BD39"/>
    <mergeCell ref="BE39:BL39"/>
    <mergeCell ref="A40:B40"/>
    <mergeCell ref="C40:E40"/>
    <mergeCell ref="F40:K40"/>
    <mergeCell ref="L40:AO40"/>
    <mergeCell ref="AP40:AQ40"/>
    <mergeCell ref="AR40:AV40"/>
    <mergeCell ref="AW40:BD40"/>
    <mergeCell ref="BE40:BL40"/>
    <mergeCell ref="A39:B39"/>
    <mergeCell ref="C39:E39"/>
    <mergeCell ref="F39:K39"/>
    <mergeCell ref="L39:AO39"/>
    <mergeCell ref="AP39:AQ39"/>
    <mergeCell ref="AR39:AV39"/>
    <mergeCell ref="AW37:BD37"/>
    <mergeCell ref="BE37:BL37"/>
    <mergeCell ref="A38:B38"/>
    <mergeCell ref="C38:E38"/>
    <mergeCell ref="F38:K38"/>
    <mergeCell ref="L38:AO38"/>
    <mergeCell ref="AP38:AQ38"/>
    <mergeCell ref="AR38:AV38"/>
    <mergeCell ref="AW38:BD38"/>
    <mergeCell ref="BE38:BL38"/>
    <mergeCell ref="A37:B37"/>
    <mergeCell ref="C37:E37"/>
    <mergeCell ref="F37:K37"/>
    <mergeCell ref="L37:AO37"/>
    <mergeCell ref="AP37:AQ37"/>
    <mergeCell ref="AR37:AV37"/>
    <mergeCell ref="AW35:BD35"/>
    <mergeCell ref="BE35:BL35"/>
    <mergeCell ref="A36:B36"/>
    <mergeCell ref="C36:E36"/>
    <mergeCell ref="F36:K36"/>
    <mergeCell ref="L36:AO36"/>
    <mergeCell ref="AP36:AQ36"/>
    <mergeCell ref="AR36:AV36"/>
    <mergeCell ref="AW36:BD36"/>
    <mergeCell ref="BE36:BL36"/>
    <mergeCell ref="A35:B35"/>
    <mergeCell ref="C35:E35"/>
    <mergeCell ref="F35:K35"/>
    <mergeCell ref="L35:AO35"/>
    <mergeCell ref="AP35:AQ35"/>
    <mergeCell ref="AR35:AV35"/>
    <mergeCell ref="AW33:BD33"/>
    <mergeCell ref="BE33:BL33"/>
    <mergeCell ref="A34:B34"/>
    <mergeCell ref="C34:E34"/>
    <mergeCell ref="F34:K34"/>
    <mergeCell ref="L34:AO34"/>
    <mergeCell ref="AP34:AQ34"/>
    <mergeCell ref="AR34:AV34"/>
    <mergeCell ref="AW34:BD34"/>
    <mergeCell ref="BE34:BL34"/>
    <mergeCell ref="A33:B33"/>
    <mergeCell ref="C33:E33"/>
    <mergeCell ref="F33:K33"/>
    <mergeCell ref="L33:AO33"/>
    <mergeCell ref="AP33:AQ33"/>
    <mergeCell ref="AR33:AV33"/>
    <mergeCell ref="AW31:BD31"/>
    <mergeCell ref="BE31:BL31"/>
    <mergeCell ref="A32:B32"/>
    <mergeCell ref="C32:E32"/>
    <mergeCell ref="F32:K32"/>
    <mergeCell ref="L32:AO32"/>
    <mergeCell ref="AP32:AQ32"/>
    <mergeCell ref="AR32:AV32"/>
    <mergeCell ref="AW32:BD32"/>
    <mergeCell ref="BE32:BL32"/>
    <mergeCell ref="A31:B31"/>
    <mergeCell ref="C31:E31"/>
    <mergeCell ref="F31:K31"/>
    <mergeCell ref="L31:AO31"/>
    <mergeCell ref="AP31:AQ31"/>
    <mergeCell ref="AR31:AV31"/>
    <mergeCell ref="AW29:BD29"/>
    <mergeCell ref="BE29:BL29"/>
    <mergeCell ref="A30:B30"/>
    <mergeCell ref="C30:E30"/>
    <mergeCell ref="F30:K30"/>
    <mergeCell ref="L30:AO30"/>
    <mergeCell ref="AP30:AQ30"/>
    <mergeCell ref="AR30:AV30"/>
    <mergeCell ref="AW30:BD30"/>
    <mergeCell ref="BE30:BL30"/>
    <mergeCell ref="A29:B29"/>
    <mergeCell ref="C29:E29"/>
    <mergeCell ref="F29:K29"/>
    <mergeCell ref="L29:AO29"/>
    <mergeCell ref="AP29:AQ29"/>
    <mergeCell ref="AR29:AV29"/>
    <mergeCell ref="AW27:BD27"/>
    <mergeCell ref="BE27:BL27"/>
    <mergeCell ref="A28:B28"/>
    <mergeCell ref="C28:E28"/>
    <mergeCell ref="F28:K28"/>
    <mergeCell ref="L28:AO28"/>
    <mergeCell ref="AP28:AQ28"/>
    <mergeCell ref="AR28:AV28"/>
    <mergeCell ref="AW28:BD28"/>
    <mergeCell ref="BE28:BL28"/>
    <mergeCell ref="A27:B27"/>
    <mergeCell ref="C27:E27"/>
    <mergeCell ref="F27:K27"/>
    <mergeCell ref="L27:AO27"/>
    <mergeCell ref="AP27:AQ27"/>
    <mergeCell ref="AR27:AV27"/>
    <mergeCell ref="AW25:BD25"/>
    <mergeCell ref="BE25:BL25"/>
    <mergeCell ref="A26:B26"/>
    <mergeCell ref="C26:E26"/>
    <mergeCell ref="F26:K26"/>
    <mergeCell ref="L26:AO26"/>
    <mergeCell ref="AP26:AQ26"/>
    <mergeCell ref="AR26:AV26"/>
    <mergeCell ref="AW26:BD26"/>
    <mergeCell ref="BE26:BL26"/>
    <mergeCell ref="A25:B25"/>
    <mergeCell ref="C25:E25"/>
    <mergeCell ref="F25:K25"/>
    <mergeCell ref="L25:AO25"/>
    <mergeCell ref="AP25:AQ25"/>
    <mergeCell ref="AR25:AV25"/>
    <mergeCell ref="AW23:BD23"/>
    <mergeCell ref="BE23:BL23"/>
    <mergeCell ref="A24:B24"/>
    <mergeCell ref="C24:E24"/>
    <mergeCell ref="F24:K24"/>
    <mergeCell ref="L24:AO24"/>
    <mergeCell ref="AP24:AQ24"/>
    <mergeCell ref="AR24:AV24"/>
    <mergeCell ref="AW24:BD24"/>
    <mergeCell ref="BE24:BL24"/>
    <mergeCell ref="A23:B23"/>
    <mergeCell ref="C23:E23"/>
    <mergeCell ref="F23:K23"/>
    <mergeCell ref="L23:AO23"/>
    <mergeCell ref="AP23:AQ23"/>
    <mergeCell ref="AR23:AV23"/>
    <mergeCell ref="AW21:BD21"/>
    <mergeCell ref="BE21:BL21"/>
    <mergeCell ref="A22:B22"/>
    <mergeCell ref="C22:E22"/>
    <mergeCell ref="F22:K22"/>
    <mergeCell ref="L22:AO22"/>
    <mergeCell ref="AP22:AQ22"/>
    <mergeCell ref="AR22:AV22"/>
    <mergeCell ref="AW22:BD22"/>
    <mergeCell ref="BE22:BL22"/>
    <mergeCell ref="A21:B21"/>
    <mergeCell ref="C21:E21"/>
    <mergeCell ref="F21:K21"/>
    <mergeCell ref="L21:AO21"/>
    <mergeCell ref="AP21:AQ21"/>
    <mergeCell ref="AR21:AV21"/>
    <mergeCell ref="AW19:BD19"/>
    <mergeCell ref="BE19:BL19"/>
    <mergeCell ref="A20:B20"/>
    <mergeCell ref="C20:E20"/>
    <mergeCell ref="F20:K20"/>
    <mergeCell ref="L20:AO20"/>
    <mergeCell ref="AP20:AQ20"/>
    <mergeCell ref="AR20:AV20"/>
    <mergeCell ref="AW20:BD20"/>
    <mergeCell ref="BE20:BL20"/>
    <mergeCell ref="A19:B19"/>
    <mergeCell ref="C19:E19"/>
    <mergeCell ref="F19:K19"/>
    <mergeCell ref="L19:AO19"/>
    <mergeCell ref="AP19:AQ19"/>
    <mergeCell ref="AR19:AV19"/>
    <mergeCell ref="AW17:BD17"/>
    <mergeCell ref="BE17:BL17"/>
    <mergeCell ref="A18:B18"/>
    <mergeCell ref="C18:E18"/>
    <mergeCell ref="F18:K18"/>
    <mergeCell ref="L18:AO18"/>
    <mergeCell ref="AP18:AQ18"/>
    <mergeCell ref="AR18:AV18"/>
    <mergeCell ref="AW18:BD18"/>
    <mergeCell ref="BE18:BL18"/>
    <mergeCell ref="A17:B17"/>
    <mergeCell ref="C17:E17"/>
    <mergeCell ref="F17:K17"/>
    <mergeCell ref="L17:AO17"/>
    <mergeCell ref="AP17:AQ17"/>
    <mergeCell ref="AR17:AV17"/>
    <mergeCell ref="AW15:BD15"/>
    <mergeCell ref="BE15:BL15"/>
    <mergeCell ref="A16:B16"/>
    <mergeCell ref="C16:E16"/>
    <mergeCell ref="F16:K16"/>
    <mergeCell ref="L16:AO16"/>
    <mergeCell ref="AP16:AQ16"/>
    <mergeCell ref="AR16:AV16"/>
    <mergeCell ref="AW16:BD16"/>
    <mergeCell ref="BE16:BL16"/>
    <mergeCell ref="A15:B15"/>
    <mergeCell ref="C15:E15"/>
    <mergeCell ref="F15:K15"/>
    <mergeCell ref="L15:AO15"/>
    <mergeCell ref="AP15:AQ15"/>
    <mergeCell ref="AR15:AV15"/>
    <mergeCell ref="AW13:BD13"/>
    <mergeCell ref="BE13:BL13"/>
    <mergeCell ref="A14:B14"/>
    <mergeCell ref="C14:E14"/>
    <mergeCell ref="F14:K14"/>
    <mergeCell ref="L14:AO14"/>
    <mergeCell ref="AP14:AQ14"/>
    <mergeCell ref="AR14:AV14"/>
    <mergeCell ref="AW14:BD14"/>
    <mergeCell ref="BE14:BL14"/>
    <mergeCell ref="A13:B13"/>
    <mergeCell ref="C13:E13"/>
    <mergeCell ref="F13:K13"/>
    <mergeCell ref="L13:AO13"/>
    <mergeCell ref="AP13:AQ13"/>
    <mergeCell ref="AR13:AV13"/>
    <mergeCell ref="AW11:BD11"/>
    <mergeCell ref="BE11:BL11"/>
    <mergeCell ref="A12:B12"/>
    <mergeCell ref="C12:E12"/>
    <mergeCell ref="F12:K12"/>
    <mergeCell ref="L12:AO12"/>
    <mergeCell ref="AP12:AQ12"/>
    <mergeCell ref="AR12:AV12"/>
    <mergeCell ref="AW12:BD12"/>
    <mergeCell ref="BE12:BL12"/>
    <mergeCell ref="A11:B11"/>
    <mergeCell ref="C11:E11"/>
    <mergeCell ref="F11:K11"/>
    <mergeCell ref="L11:AO11"/>
    <mergeCell ref="AP11:AQ11"/>
    <mergeCell ref="AR11:AV11"/>
    <mergeCell ref="AW10:BD10"/>
    <mergeCell ref="BE10:BL10"/>
    <mergeCell ref="A10:B10"/>
    <mergeCell ref="C10:E10"/>
    <mergeCell ref="F10:K10"/>
    <mergeCell ref="L10:AO10"/>
    <mergeCell ref="AP10:AQ10"/>
    <mergeCell ref="AR10:AV10"/>
    <mergeCell ref="A8:E9"/>
    <mergeCell ref="F8:AI9"/>
    <mergeCell ref="AJ8:AP9"/>
    <mergeCell ref="AQ8:AV9"/>
    <mergeCell ref="AW8:BC9"/>
    <mergeCell ref="BD8:BL9"/>
    <mergeCell ref="A6:E7"/>
    <mergeCell ref="F6:AI7"/>
    <mergeCell ref="AJ6:AP7"/>
    <mergeCell ref="AQ6:AV7"/>
    <mergeCell ref="AW6:BC7"/>
    <mergeCell ref="BD6:BL7"/>
    <mergeCell ref="A4:E5"/>
    <mergeCell ref="F4:AI5"/>
    <mergeCell ref="AJ4:AP5"/>
    <mergeCell ref="AQ4:AV5"/>
    <mergeCell ref="AW4:BC5"/>
    <mergeCell ref="BD4:BL5"/>
    <mergeCell ref="A1:BL1"/>
    <mergeCell ref="A2:E3"/>
    <mergeCell ref="F2:AI3"/>
    <mergeCell ref="AJ2:AP3"/>
    <mergeCell ref="AQ2:AV3"/>
    <mergeCell ref="AW2:BC3"/>
    <mergeCell ref="BD2:BL3"/>
  </mergeCells>
  <printOptions/>
  <pageMargins left="0.394" right="0.394" top="0.31" bottom="0.29" header="0.24" footer="0.26"/>
  <pageSetup fitToHeight="0" fitToWidth="1" horizontalDpi="600" verticalDpi="600" orientation="landscape" paperSize="9" scale="7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V129"/>
  <sheetViews>
    <sheetView zoomScalePageLayoutView="0" workbookViewId="0" topLeftCell="A1">
      <pane ySplit="11" topLeftCell="A12" activePane="bottomLeft" state="frozen"/>
      <selection pane="topLeft" activeCell="A1" sqref="A1"/>
      <selection pane="bottomLeft" activeCell="A1" sqref="A1:M1"/>
    </sheetView>
  </sheetViews>
  <sheetFormatPr defaultColWidth="11.57421875" defaultRowHeight="12.75"/>
  <cols>
    <col min="1" max="1" width="3.7109375" style="0" customWidth="1"/>
    <col min="2" max="2" width="6.8515625" style="0" customWidth="1"/>
    <col min="3" max="3" width="13.28125" style="0" customWidth="1"/>
    <col min="4" max="4" width="77.140625" style="0" customWidth="1"/>
    <col min="5" max="5" width="6.421875" style="0" customWidth="1"/>
    <col min="6" max="6" width="12.8515625" style="0" customWidth="1"/>
    <col min="7" max="7" width="12.00390625" style="0" customWidth="1"/>
    <col min="8" max="10" width="14.28125" style="0" customWidth="1"/>
    <col min="11" max="12" width="11.7109375" style="0" customWidth="1"/>
    <col min="13" max="13" width="11.140625" style="0" customWidth="1"/>
    <col min="14" max="14" width="0" style="0" hidden="1" customWidth="1"/>
    <col min="15" max="48" width="12.140625" style="0" hidden="1" customWidth="1"/>
  </cols>
  <sheetData>
    <row r="1" spans="1:13" ht="72.75" customHeight="1">
      <c r="A1" s="189" t="s">
        <v>0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</row>
    <row r="2" spans="1:14" ht="12.75">
      <c r="A2" s="149" t="s">
        <v>1</v>
      </c>
      <c r="B2" s="150"/>
      <c r="C2" s="150"/>
      <c r="D2" s="153" t="s">
        <v>368</v>
      </c>
      <c r="E2" s="190" t="s">
        <v>320</v>
      </c>
      <c r="F2" s="150"/>
      <c r="G2" s="190" t="s">
        <v>6</v>
      </c>
      <c r="H2" s="150"/>
      <c r="I2" s="156" t="s">
        <v>334</v>
      </c>
      <c r="J2" s="156" t="s">
        <v>6</v>
      </c>
      <c r="K2" s="150"/>
      <c r="L2" s="150"/>
      <c r="M2" s="191"/>
      <c r="N2" s="5"/>
    </row>
    <row r="3" spans="1:14" ht="12.75">
      <c r="A3" s="151"/>
      <c r="B3" s="152"/>
      <c r="C3" s="152"/>
      <c r="D3" s="155"/>
      <c r="E3" s="152"/>
      <c r="F3" s="152"/>
      <c r="G3" s="152"/>
      <c r="H3" s="152"/>
      <c r="I3" s="152"/>
      <c r="J3" s="152"/>
      <c r="K3" s="152"/>
      <c r="L3" s="152"/>
      <c r="M3" s="159"/>
      <c r="N3" s="5"/>
    </row>
    <row r="4" spans="1:14" ht="12.75">
      <c r="A4" s="160" t="s">
        <v>2</v>
      </c>
      <c r="B4" s="152"/>
      <c r="C4" s="152"/>
      <c r="D4" s="161" t="s">
        <v>6</v>
      </c>
      <c r="E4" s="164" t="s">
        <v>321</v>
      </c>
      <c r="F4" s="152"/>
      <c r="G4" s="164" t="s">
        <v>371</v>
      </c>
      <c r="H4" s="152"/>
      <c r="I4" s="161" t="s">
        <v>335</v>
      </c>
      <c r="J4" s="161" t="s">
        <v>6</v>
      </c>
      <c r="K4" s="152"/>
      <c r="L4" s="152"/>
      <c r="M4" s="159"/>
      <c r="N4" s="5"/>
    </row>
    <row r="5" spans="1:14" ht="12.75">
      <c r="A5" s="151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9"/>
      <c r="N5" s="5"/>
    </row>
    <row r="6" spans="1:14" ht="12.75">
      <c r="A6" s="160" t="s">
        <v>3</v>
      </c>
      <c r="B6" s="152"/>
      <c r="C6" s="152"/>
      <c r="D6" s="161" t="s">
        <v>369</v>
      </c>
      <c r="E6" s="164" t="s">
        <v>322</v>
      </c>
      <c r="F6" s="152"/>
      <c r="G6" s="164" t="s">
        <v>6</v>
      </c>
      <c r="H6" s="152"/>
      <c r="I6" s="161" t="s">
        <v>336</v>
      </c>
      <c r="J6" s="161" t="s">
        <v>6</v>
      </c>
      <c r="K6" s="152"/>
      <c r="L6" s="152"/>
      <c r="M6" s="159"/>
      <c r="N6" s="5"/>
    </row>
    <row r="7" spans="1:14" ht="12.75">
      <c r="A7" s="151"/>
      <c r="B7" s="152"/>
      <c r="C7" s="152"/>
      <c r="D7" s="152"/>
      <c r="E7" s="152"/>
      <c r="F7" s="152"/>
      <c r="G7" s="152"/>
      <c r="H7" s="152"/>
      <c r="I7" s="152"/>
      <c r="J7" s="152"/>
      <c r="K7" s="152"/>
      <c r="L7" s="152"/>
      <c r="M7" s="159"/>
      <c r="N7" s="5"/>
    </row>
    <row r="8" spans="1:14" ht="12.75">
      <c r="A8" s="160" t="s">
        <v>4</v>
      </c>
      <c r="B8" s="152"/>
      <c r="C8" s="152"/>
      <c r="D8" s="161" t="s">
        <v>6</v>
      </c>
      <c r="E8" s="164" t="s">
        <v>323</v>
      </c>
      <c r="F8" s="152"/>
      <c r="G8" s="164" t="s">
        <v>371</v>
      </c>
      <c r="H8" s="152"/>
      <c r="I8" s="161" t="s">
        <v>337</v>
      </c>
      <c r="J8" s="161" t="s">
        <v>6</v>
      </c>
      <c r="K8" s="152"/>
      <c r="L8" s="152"/>
      <c r="M8" s="159"/>
      <c r="N8" s="5"/>
    </row>
    <row r="9" spans="1:14" ht="12.75">
      <c r="A9" s="231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232"/>
      <c r="M9" s="233"/>
      <c r="N9" s="5"/>
    </row>
    <row r="10" spans="1:14" ht="12.75">
      <c r="A10" s="21" t="s">
        <v>5</v>
      </c>
      <c r="B10" s="28" t="s">
        <v>98</v>
      </c>
      <c r="C10" s="28" t="s">
        <v>102</v>
      </c>
      <c r="D10" s="28" t="s">
        <v>206</v>
      </c>
      <c r="E10" s="28" t="s">
        <v>324</v>
      </c>
      <c r="F10" s="34" t="s">
        <v>333</v>
      </c>
      <c r="G10" s="35" t="s">
        <v>372</v>
      </c>
      <c r="H10" s="227" t="s">
        <v>374</v>
      </c>
      <c r="I10" s="228"/>
      <c r="J10" s="229"/>
      <c r="K10" s="227" t="s">
        <v>377</v>
      </c>
      <c r="L10" s="229"/>
      <c r="M10" s="44" t="s">
        <v>378</v>
      </c>
      <c r="N10" s="12"/>
    </row>
    <row r="11" spans="1:24" ht="12.75">
      <c r="A11" s="22" t="s">
        <v>6</v>
      </c>
      <c r="B11" s="29" t="s">
        <v>6</v>
      </c>
      <c r="C11" s="29" t="s">
        <v>6</v>
      </c>
      <c r="D11" s="33" t="s">
        <v>370</v>
      </c>
      <c r="E11" s="29" t="s">
        <v>6</v>
      </c>
      <c r="F11" s="29" t="s">
        <v>6</v>
      </c>
      <c r="G11" s="36" t="s">
        <v>373</v>
      </c>
      <c r="H11" s="37" t="s">
        <v>375</v>
      </c>
      <c r="I11" s="38" t="s">
        <v>342</v>
      </c>
      <c r="J11" s="39" t="s">
        <v>376</v>
      </c>
      <c r="K11" s="37" t="s">
        <v>372</v>
      </c>
      <c r="L11" s="39" t="s">
        <v>376</v>
      </c>
      <c r="M11" s="45" t="s">
        <v>379</v>
      </c>
      <c r="N11" s="12"/>
      <c r="P11" s="41" t="s">
        <v>381</v>
      </c>
      <c r="Q11" s="41" t="s">
        <v>382</v>
      </c>
      <c r="R11" s="41" t="s">
        <v>383</v>
      </c>
      <c r="S11" s="41" t="s">
        <v>384</v>
      </c>
      <c r="T11" s="41" t="s">
        <v>385</v>
      </c>
      <c r="U11" s="41" t="s">
        <v>386</v>
      </c>
      <c r="V11" s="41" t="s">
        <v>387</v>
      </c>
      <c r="W11" s="41" t="s">
        <v>388</v>
      </c>
      <c r="X11" s="41" t="s">
        <v>389</v>
      </c>
    </row>
    <row r="12" spans="1:13" ht="12.75">
      <c r="A12" s="23"/>
      <c r="B12" s="30" t="s">
        <v>99</v>
      </c>
      <c r="C12" s="30"/>
      <c r="D12" s="30" t="s">
        <v>207</v>
      </c>
      <c r="E12" s="23" t="s">
        <v>6</v>
      </c>
      <c r="F12" s="23" t="s">
        <v>6</v>
      </c>
      <c r="G12" s="23" t="s">
        <v>6</v>
      </c>
      <c r="H12" s="51">
        <f>H13+H15+H33</f>
        <v>0</v>
      </c>
      <c r="I12" s="51">
        <f>I13+I15+I33</f>
        <v>0</v>
      </c>
      <c r="J12" s="51">
        <f>H12+I12</f>
        <v>0</v>
      </c>
      <c r="K12" s="40"/>
      <c r="L12" s="51">
        <f>L13+L15+L33</f>
        <v>16.4833827</v>
      </c>
      <c r="M12" s="40"/>
    </row>
    <row r="13" spans="1:37" ht="12.75">
      <c r="A13" s="24"/>
      <c r="B13" s="31" t="s">
        <v>99</v>
      </c>
      <c r="C13" s="31" t="s">
        <v>103</v>
      </c>
      <c r="D13" s="31" t="s">
        <v>208</v>
      </c>
      <c r="E13" s="24" t="s">
        <v>6</v>
      </c>
      <c r="F13" s="24" t="s">
        <v>6</v>
      </c>
      <c r="G13" s="24" t="s">
        <v>6</v>
      </c>
      <c r="H13" s="6">
        <f>SUM(H14:H14)</f>
        <v>0</v>
      </c>
      <c r="I13" s="6">
        <f>SUM(I14:I14)</f>
        <v>0</v>
      </c>
      <c r="J13" s="6">
        <f>H13+I13</f>
        <v>0</v>
      </c>
      <c r="K13" s="41"/>
      <c r="L13" s="6">
        <f>SUM(L14:L14)</f>
        <v>0.001206</v>
      </c>
      <c r="M13" s="41"/>
      <c r="Y13" s="41" t="s">
        <v>99</v>
      </c>
      <c r="AI13" s="6">
        <f>SUM(Z14:Z14)</f>
        <v>0</v>
      </c>
      <c r="AJ13" s="6">
        <f>SUM(AA14:AA14)</f>
        <v>0</v>
      </c>
      <c r="AK13" s="6">
        <f>SUM(AB14:AB14)</f>
        <v>0</v>
      </c>
    </row>
    <row r="14" spans="1:48" ht="12.75">
      <c r="A14" s="1" t="s">
        <v>7</v>
      </c>
      <c r="B14" s="1" t="s">
        <v>99</v>
      </c>
      <c r="C14" s="1" t="s">
        <v>104</v>
      </c>
      <c r="D14" s="1" t="s">
        <v>209</v>
      </c>
      <c r="E14" s="1" t="s">
        <v>325</v>
      </c>
      <c r="F14" s="3">
        <f>'01-BOURACÍ PRÁCE'!AR13</f>
        <v>30.15</v>
      </c>
      <c r="G14" s="3">
        <f>'01-BOURACÍ PRÁCE'!AW13</f>
        <v>0</v>
      </c>
      <c r="H14" s="3">
        <f>F14*AE14</f>
        <v>0</v>
      </c>
      <c r="I14" s="3">
        <f>J14-H14</f>
        <v>0</v>
      </c>
      <c r="J14" s="3">
        <f>F14*G14</f>
        <v>0</v>
      </c>
      <c r="K14" s="3">
        <v>4E-05</v>
      </c>
      <c r="L14" s="3">
        <f>F14*K14</f>
        <v>0.001206</v>
      </c>
      <c r="M14" s="46" t="s">
        <v>380</v>
      </c>
      <c r="P14" s="49">
        <f>IF(AG14="5",J14,0)</f>
        <v>0</v>
      </c>
      <c r="R14" s="49">
        <f>IF(AG14="1",H14,0)</f>
        <v>0</v>
      </c>
      <c r="S14" s="49">
        <f>IF(AG14="1",I14,0)</f>
        <v>0</v>
      </c>
      <c r="T14" s="49">
        <f>IF(AG14="7",H14,0)</f>
        <v>0</v>
      </c>
      <c r="U14" s="49">
        <f>IF(AG14="7",I14,0)</f>
        <v>0</v>
      </c>
      <c r="V14" s="49">
        <f>IF(AG14="2",H14,0)</f>
        <v>0</v>
      </c>
      <c r="W14" s="49">
        <f>IF(AG14="2",I14,0)</f>
        <v>0</v>
      </c>
      <c r="X14" s="49">
        <f>IF(AG14="0",J14,0)</f>
        <v>0</v>
      </c>
      <c r="Y14" s="41" t="s">
        <v>99</v>
      </c>
      <c r="Z14" s="3">
        <f>IF(AD14=0,J14,0)</f>
        <v>0</v>
      </c>
      <c r="AA14" s="3">
        <f>IF(AD14=15,J14,0)</f>
        <v>0</v>
      </c>
      <c r="AB14" s="3">
        <f>IF(AD14=21,J14,0)</f>
        <v>0</v>
      </c>
      <c r="AD14" s="49">
        <v>21</v>
      </c>
      <c r="AE14" s="49">
        <f>G14*0.0144263133579725</f>
        <v>0</v>
      </c>
      <c r="AF14" s="49">
        <f>G14*(1-0.0144263133579725)</f>
        <v>0</v>
      </c>
      <c r="AG14" s="46" t="s">
        <v>7</v>
      </c>
      <c r="AM14" s="49">
        <f>F14*AE14</f>
        <v>0</v>
      </c>
      <c r="AN14" s="49">
        <f>F14*AF14</f>
        <v>0</v>
      </c>
      <c r="AO14" s="50" t="s">
        <v>390</v>
      </c>
      <c r="AP14" s="50" t="s">
        <v>410</v>
      </c>
      <c r="AQ14" s="41" t="s">
        <v>420</v>
      </c>
      <c r="AS14" s="49">
        <f>AM14+AN14</f>
        <v>0</v>
      </c>
      <c r="AT14" s="49">
        <f>G14/(100-AU14)*100</f>
        <v>0</v>
      </c>
      <c r="AU14" s="49">
        <v>0</v>
      </c>
      <c r="AV14" s="49">
        <f>L14</f>
        <v>0.001206</v>
      </c>
    </row>
    <row r="15" spans="1:37" ht="12.75">
      <c r="A15" s="24"/>
      <c r="B15" s="31" t="s">
        <v>99</v>
      </c>
      <c r="C15" s="31" t="s">
        <v>105</v>
      </c>
      <c r="D15" s="31" t="s">
        <v>210</v>
      </c>
      <c r="E15" s="24" t="s">
        <v>6</v>
      </c>
      <c r="F15" s="24" t="s">
        <v>6</v>
      </c>
      <c r="G15" s="24" t="s">
        <v>6</v>
      </c>
      <c r="H15" s="6">
        <f>SUM(H16:H32)</f>
        <v>0</v>
      </c>
      <c r="I15" s="6">
        <f>SUM(I16:I32)</f>
        <v>0</v>
      </c>
      <c r="J15" s="6">
        <f>H15+I15</f>
        <v>0</v>
      </c>
      <c r="K15" s="41"/>
      <c r="L15" s="6">
        <f>SUM(L16:L32)</f>
        <v>16.4821767</v>
      </c>
      <c r="M15" s="41"/>
      <c r="Y15" s="41" t="s">
        <v>99</v>
      </c>
      <c r="AI15" s="6">
        <f>SUM(Z16:Z32)</f>
        <v>0</v>
      </c>
      <c r="AJ15" s="6">
        <f>SUM(AA16:AA32)</f>
        <v>0</v>
      </c>
      <c r="AK15" s="6">
        <f>SUM(AB16:AB32)</f>
        <v>0</v>
      </c>
    </row>
    <row r="16" spans="1:48" ht="12.75">
      <c r="A16" s="1" t="s">
        <v>8</v>
      </c>
      <c r="B16" s="1" t="s">
        <v>99</v>
      </c>
      <c r="C16" s="1" t="s">
        <v>106</v>
      </c>
      <c r="D16" s="1" t="s">
        <v>211</v>
      </c>
      <c r="E16" s="1" t="s">
        <v>326</v>
      </c>
      <c r="F16" s="3">
        <f>'01-BOURACÍ PRÁCE'!AR15</f>
        <v>1</v>
      </c>
      <c r="G16" s="3">
        <f>'01-BOURACÍ PRÁCE'!AW15</f>
        <v>0</v>
      </c>
      <c r="H16" s="3">
        <f aca="true" t="shared" si="0" ref="H16:H32">F16*AE16</f>
        <v>0</v>
      </c>
      <c r="I16" s="3">
        <f aca="true" t="shared" si="1" ref="I16:I32">J16-H16</f>
        <v>0</v>
      </c>
      <c r="J16" s="3">
        <f aca="true" t="shared" si="2" ref="J16:J32">F16*G16</f>
        <v>0</v>
      </c>
      <c r="K16" s="3">
        <v>0</v>
      </c>
      <c r="L16" s="3">
        <f aca="true" t="shared" si="3" ref="L16:L32">F16*K16</f>
        <v>0</v>
      </c>
      <c r="M16" s="46" t="s">
        <v>380</v>
      </c>
      <c r="P16" s="49">
        <f aca="true" t="shared" si="4" ref="P16:P32">IF(AG16="5",J16,0)</f>
        <v>0</v>
      </c>
      <c r="R16" s="49">
        <f aca="true" t="shared" si="5" ref="R16:R32">IF(AG16="1",H16,0)</f>
        <v>0</v>
      </c>
      <c r="S16" s="49">
        <f aca="true" t="shared" si="6" ref="S16:S32">IF(AG16="1",I16,0)</f>
        <v>0</v>
      </c>
      <c r="T16" s="49">
        <f aca="true" t="shared" si="7" ref="T16:T32">IF(AG16="7",H16,0)</f>
        <v>0</v>
      </c>
      <c r="U16" s="49">
        <f aca="true" t="shared" si="8" ref="U16:U32">IF(AG16="7",I16,0)</f>
        <v>0</v>
      </c>
      <c r="V16" s="49">
        <f aca="true" t="shared" si="9" ref="V16:V32">IF(AG16="2",H16,0)</f>
        <v>0</v>
      </c>
      <c r="W16" s="49">
        <f aca="true" t="shared" si="10" ref="W16:W32">IF(AG16="2",I16,0)</f>
        <v>0</v>
      </c>
      <c r="X16" s="49">
        <f aca="true" t="shared" si="11" ref="X16:X32">IF(AG16="0",J16,0)</f>
        <v>0</v>
      </c>
      <c r="Y16" s="41" t="s">
        <v>99</v>
      </c>
      <c r="Z16" s="3">
        <f aca="true" t="shared" si="12" ref="Z16:Z32">IF(AD16=0,J16,0)</f>
        <v>0</v>
      </c>
      <c r="AA16" s="3">
        <f aca="true" t="shared" si="13" ref="AA16:AA32">IF(AD16=15,J16,0)</f>
        <v>0</v>
      </c>
      <c r="AB16" s="3">
        <f aca="true" t="shared" si="14" ref="AB16:AB32">IF(AD16=21,J16,0)</f>
        <v>0</v>
      </c>
      <c r="AD16" s="49">
        <v>21</v>
      </c>
      <c r="AE16" s="49">
        <f aca="true" t="shared" si="15" ref="AE16:AE25">G16*0</f>
        <v>0</v>
      </c>
      <c r="AF16" s="49">
        <f aca="true" t="shared" si="16" ref="AF16:AF25">G16*(1-0)</f>
        <v>0</v>
      </c>
      <c r="AG16" s="46" t="s">
        <v>7</v>
      </c>
      <c r="AM16" s="49">
        <f aca="true" t="shared" si="17" ref="AM16:AM32">F16*AE16</f>
        <v>0</v>
      </c>
      <c r="AN16" s="49">
        <f aca="true" t="shared" si="18" ref="AN16:AN32">F16*AF16</f>
        <v>0</v>
      </c>
      <c r="AO16" s="50" t="s">
        <v>391</v>
      </c>
      <c r="AP16" s="50" t="s">
        <v>410</v>
      </c>
      <c r="AQ16" s="41" t="s">
        <v>420</v>
      </c>
      <c r="AS16" s="49">
        <f aca="true" t="shared" si="19" ref="AS16:AS32">AM16+AN16</f>
        <v>0</v>
      </c>
      <c r="AT16" s="49">
        <f aca="true" t="shared" si="20" ref="AT16:AT32">G16/(100-AU16)*100</f>
        <v>0</v>
      </c>
      <c r="AU16" s="49">
        <v>0</v>
      </c>
      <c r="AV16" s="49">
        <f aca="true" t="shared" si="21" ref="AV16:AV32">L16</f>
        <v>0</v>
      </c>
    </row>
    <row r="17" spans="1:48" ht="12.75">
      <c r="A17" s="1" t="s">
        <v>9</v>
      </c>
      <c r="B17" s="1" t="s">
        <v>99</v>
      </c>
      <c r="C17" s="1" t="s">
        <v>107</v>
      </c>
      <c r="D17" s="1" t="s">
        <v>212</v>
      </c>
      <c r="E17" s="1" t="s">
        <v>326</v>
      </c>
      <c r="F17" s="3">
        <f>'01-BOURACÍ PRÁCE'!AR16</f>
        <v>1</v>
      </c>
      <c r="G17" s="3">
        <f>'01-BOURACÍ PRÁCE'!AW16</f>
        <v>0</v>
      </c>
      <c r="H17" s="3">
        <f t="shared" si="0"/>
        <v>0</v>
      </c>
      <c r="I17" s="3">
        <f t="shared" si="1"/>
        <v>0</v>
      </c>
      <c r="J17" s="3">
        <f t="shared" si="2"/>
        <v>0</v>
      </c>
      <c r="K17" s="3">
        <v>0</v>
      </c>
      <c r="L17" s="3">
        <f t="shared" si="3"/>
        <v>0</v>
      </c>
      <c r="M17" s="46"/>
      <c r="P17" s="49">
        <f t="shared" si="4"/>
        <v>0</v>
      </c>
      <c r="R17" s="49">
        <f t="shared" si="5"/>
        <v>0</v>
      </c>
      <c r="S17" s="49">
        <f t="shared" si="6"/>
        <v>0</v>
      </c>
      <c r="T17" s="49">
        <f t="shared" si="7"/>
        <v>0</v>
      </c>
      <c r="U17" s="49">
        <f t="shared" si="8"/>
        <v>0</v>
      </c>
      <c r="V17" s="49">
        <f t="shared" si="9"/>
        <v>0</v>
      </c>
      <c r="W17" s="49">
        <f t="shared" si="10"/>
        <v>0</v>
      </c>
      <c r="X17" s="49">
        <f t="shared" si="11"/>
        <v>0</v>
      </c>
      <c r="Y17" s="41" t="s">
        <v>99</v>
      </c>
      <c r="Z17" s="3">
        <f t="shared" si="12"/>
        <v>0</v>
      </c>
      <c r="AA17" s="3">
        <f t="shared" si="13"/>
        <v>0</v>
      </c>
      <c r="AB17" s="3">
        <f t="shared" si="14"/>
        <v>0</v>
      </c>
      <c r="AD17" s="49">
        <v>21</v>
      </c>
      <c r="AE17" s="49">
        <f t="shared" si="15"/>
        <v>0</v>
      </c>
      <c r="AF17" s="49">
        <f t="shared" si="16"/>
        <v>0</v>
      </c>
      <c r="AG17" s="46" t="s">
        <v>7</v>
      </c>
      <c r="AM17" s="49">
        <f t="shared" si="17"/>
        <v>0</v>
      </c>
      <c r="AN17" s="49">
        <f t="shared" si="18"/>
        <v>0</v>
      </c>
      <c r="AO17" s="50" t="s">
        <v>391</v>
      </c>
      <c r="AP17" s="50" t="s">
        <v>410</v>
      </c>
      <c r="AQ17" s="41" t="s">
        <v>420</v>
      </c>
      <c r="AS17" s="49">
        <f t="shared" si="19"/>
        <v>0</v>
      </c>
      <c r="AT17" s="49">
        <f t="shared" si="20"/>
        <v>0</v>
      </c>
      <c r="AU17" s="49">
        <v>0</v>
      </c>
      <c r="AV17" s="49">
        <f t="shared" si="21"/>
        <v>0</v>
      </c>
    </row>
    <row r="18" spans="1:48" ht="12.75">
      <c r="A18" s="1" t="s">
        <v>10</v>
      </c>
      <c r="B18" s="1" t="s">
        <v>99</v>
      </c>
      <c r="C18" s="1" t="s">
        <v>108</v>
      </c>
      <c r="D18" s="1" t="s">
        <v>213</v>
      </c>
      <c r="E18" s="1" t="s">
        <v>327</v>
      </c>
      <c r="F18" s="3">
        <f>'01-BOURACÍ PRÁCE'!AR17</f>
        <v>3</v>
      </c>
      <c r="G18" s="3">
        <f>'01-BOURACÍ PRÁCE'!AW17</f>
        <v>0</v>
      </c>
      <c r="H18" s="3">
        <f t="shared" si="0"/>
        <v>0</v>
      </c>
      <c r="I18" s="3">
        <f t="shared" si="1"/>
        <v>0</v>
      </c>
      <c r="J18" s="3">
        <f t="shared" si="2"/>
        <v>0</v>
      </c>
      <c r="K18" s="3">
        <v>0.00086</v>
      </c>
      <c r="L18" s="3">
        <f t="shared" si="3"/>
        <v>0.00258</v>
      </c>
      <c r="M18" s="46" t="s">
        <v>380</v>
      </c>
      <c r="P18" s="49">
        <f t="shared" si="4"/>
        <v>0</v>
      </c>
      <c r="R18" s="49">
        <f t="shared" si="5"/>
        <v>0</v>
      </c>
      <c r="S18" s="49">
        <f t="shared" si="6"/>
        <v>0</v>
      </c>
      <c r="T18" s="49">
        <f t="shared" si="7"/>
        <v>0</v>
      </c>
      <c r="U18" s="49">
        <f t="shared" si="8"/>
        <v>0</v>
      </c>
      <c r="V18" s="49">
        <f t="shared" si="9"/>
        <v>0</v>
      </c>
      <c r="W18" s="49">
        <f t="shared" si="10"/>
        <v>0</v>
      </c>
      <c r="X18" s="49">
        <f t="shared" si="11"/>
        <v>0</v>
      </c>
      <c r="Y18" s="41" t="s">
        <v>99</v>
      </c>
      <c r="Z18" s="3">
        <f t="shared" si="12"/>
        <v>0</v>
      </c>
      <c r="AA18" s="3">
        <f t="shared" si="13"/>
        <v>0</v>
      </c>
      <c r="AB18" s="3">
        <f t="shared" si="14"/>
        <v>0</v>
      </c>
      <c r="AD18" s="49">
        <v>21</v>
      </c>
      <c r="AE18" s="49">
        <f t="shared" si="15"/>
        <v>0</v>
      </c>
      <c r="AF18" s="49">
        <f t="shared" si="16"/>
        <v>0</v>
      </c>
      <c r="AG18" s="46" t="s">
        <v>7</v>
      </c>
      <c r="AM18" s="49">
        <f t="shared" si="17"/>
        <v>0</v>
      </c>
      <c r="AN18" s="49">
        <f t="shared" si="18"/>
        <v>0</v>
      </c>
      <c r="AO18" s="50" t="s">
        <v>391</v>
      </c>
      <c r="AP18" s="50" t="s">
        <v>410</v>
      </c>
      <c r="AQ18" s="41" t="s">
        <v>420</v>
      </c>
      <c r="AS18" s="49">
        <f t="shared" si="19"/>
        <v>0</v>
      </c>
      <c r="AT18" s="49">
        <f t="shared" si="20"/>
        <v>0</v>
      </c>
      <c r="AU18" s="49">
        <v>0</v>
      </c>
      <c r="AV18" s="49">
        <f t="shared" si="21"/>
        <v>0.00258</v>
      </c>
    </row>
    <row r="19" spans="1:48" ht="12.75">
      <c r="A19" s="1" t="s">
        <v>11</v>
      </c>
      <c r="B19" s="1" t="s">
        <v>99</v>
      </c>
      <c r="C19" s="1" t="s">
        <v>109</v>
      </c>
      <c r="D19" s="1" t="s">
        <v>214</v>
      </c>
      <c r="E19" s="1" t="s">
        <v>327</v>
      </c>
      <c r="F19" s="3">
        <f>'01-BOURACÍ PRÁCE'!AR18</f>
        <v>3</v>
      </c>
      <c r="G19" s="3">
        <f>'01-BOURACÍ PRÁCE'!AW18</f>
        <v>0</v>
      </c>
      <c r="H19" s="3">
        <f t="shared" si="0"/>
        <v>0</v>
      </c>
      <c r="I19" s="3">
        <f t="shared" si="1"/>
        <v>0</v>
      </c>
      <c r="J19" s="3">
        <f t="shared" si="2"/>
        <v>0</v>
      </c>
      <c r="K19" s="3">
        <v>0.01946</v>
      </c>
      <c r="L19" s="3">
        <f t="shared" si="3"/>
        <v>0.05838</v>
      </c>
      <c r="M19" s="46" t="s">
        <v>380</v>
      </c>
      <c r="P19" s="49">
        <f t="shared" si="4"/>
        <v>0</v>
      </c>
      <c r="R19" s="49">
        <f t="shared" si="5"/>
        <v>0</v>
      </c>
      <c r="S19" s="49">
        <f t="shared" si="6"/>
        <v>0</v>
      </c>
      <c r="T19" s="49">
        <f t="shared" si="7"/>
        <v>0</v>
      </c>
      <c r="U19" s="49">
        <f t="shared" si="8"/>
        <v>0</v>
      </c>
      <c r="V19" s="49">
        <f t="shared" si="9"/>
        <v>0</v>
      </c>
      <c r="W19" s="49">
        <f t="shared" si="10"/>
        <v>0</v>
      </c>
      <c r="X19" s="49">
        <f t="shared" si="11"/>
        <v>0</v>
      </c>
      <c r="Y19" s="41" t="s">
        <v>99</v>
      </c>
      <c r="Z19" s="3">
        <f t="shared" si="12"/>
        <v>0</v>
      </c>
      <c r="AA19" s="3">
        <f t="shared" si="13"/>
        <v>0</v>
      </c>
      <c r="AB19" s="3">
        <f t="shared" si="14"/>
        <v>0</v>
      </c>
      <c r="AD19" s="49">
        <v>21</v>
      </c>
      <c r="AE19" s="49">
        <f t="shared" si="15"/>
        <v>0</v>
      </c>
      <c r="AF19" s="49">
        <f t="shared" si="16"/>
        <v>0</v>
      </c>
      <c r="AG19" s="46" t="s">
        <v>7</v>
      </c>
      <c r="AM19" s="49">
        <f t="shared" si="17"/>
        <v>0</v>
      </c>
      <c r="AN19" s="49">
        <f t="shared" si="18"/>
        <v>0</v>
      </c>
      <c r="AO19" s="50" t="s">
        <v>391</v>
      </c>
      <c r="AP19" s="50" t="s">
        <v>410</v>
      </c>
      <c r="AQ19" s="41" t="s">
        <v>420</v>
      </c>
      <c r="AS19" s="49">
        <f t="shared" si="19"/>
        <v>0</v>
      </c>
      <c r="AT19" s="49">
        <f t="shared" si="20"/>
        <v>0</v>
      </c>
      <c r="AU19" s="49">
        <v>0</v>
      </c>
      <c r="AV19" s="49">
        <f t="shared" si="21"/>
        <v>0.05838</v>
      </c>
    </row>
    <row r="20" spans="1:48" ht="12.75">
      <c r="A20" s="1" t="s">
        <v>12</v>
      </c>
      <c r="B20" s="1" t="s">
        <v>99</v>
      </c>
      <c r="C20" s="1" t="s">
        <v>110</v>
      </c>
      <c r="D20" s="1" t="s">
        <v>215</v>
      </c>
      <c r="E20" s="1" t="s">
        <v>327</v>
      </c>
      <c r="F20" s="3">
        <f>'01-BOURACÍ PRÁCE'!AR19</f>
        <v>4</v>
      </c>
      <c r="G20" s="3">
        <f>'01-BOURACÍ PRÁCE'!AW19</f>
        <v>0</v>
      </c>
      <c r="H20" s="3">
        <f t="shared" si="0"/>
        <v>0</v>
      </c>
      <c r="I20" s="3">
        <f t="shared" si="1"/>
        <v>0</v>
      </c>
      <c r="J20" s="3">
        <f t="shared" si="2"/>
        <v>0</v>
      </c>
      <c r="K20" s="3">
        <v>0.0342</v>
      </c>
      <c r="L20" s="3">
        <f t="shared" si="3"/>
        <v>0.1368</v>
      </c>
      <c r="M20" s="46" t="s">
        <v>380</v>
      </c>
      <c r="P20" s="49">
        <f t="shared" si="4"/>
        <v>0</v>
      </c>
      <c r="R20" s="49">
        <f t="shared" si="5"/>
        <v>0</v>
      </c>
      <c r="S20" s="49">
        <f t="shared" si="6"/>
        <v>0</v>
      </c>
      <c r="T20" s="49">
        <f t="shared" si="7"/>
        <v>0</v>
      </c>
      <c r="U20" s="49">
        <f t="shared" si="8"/>
        <v>0</v>
      </c>
      <c r="V20" s="49">
        <f t="shared" si="9"/>
        <v>0</v>
      </c>
      <c r="W20" s="49">
        <f t="shared" si="10"/>
        <v>0</v>
      </c>
      <c r="X20" s="49">
        <f t="shared" si="11"/>
        <v>0</v>
      </c>
      <c r="Y20" s="41" t="s">
        <v>99</v>
      </c>
      <c r="Z20" s="3">
        <f t="shared" si="12"/>
        <v>0</v>
      </c>
      <c r="AA20" s="3">
        <f t="shared" si="13"/>
        <v>0</v>
      </c>
      <c r="AB20" s="3">
        <f t="shared" si="14"/>
        <v>0</v>
      </c>
      <c r="AD20" s="49">
        <v>21</v>
      </c>
      <c r="AE20" s="49">
        <f t="shared" si="15"/>
        <v>0</v>
      </c>
      <c r="AF20" s="49">
        <f t="shared" si="16"/>
        <v>0</v>
      </c>
      <c r="AG20" s="46" t="s">
        <v>7</v>
      </c>
      <c r="AM20" s="49">
        <f t="shared" si="17"/>
        <v>0</v>
      </c>
      <c r="AN20" s="49">
        <f t="shared" si="18"/>
        <v>0</v>
      </c>
      <c r="AO20" s="50" t="s">
        <v>391</v>
      </c>
      <c r="AP20" s="50" t="s">
        <v>410</v>
      </c>
      <c r="AQ20" s="41" t="s">
        <v>420</v>
      </c>
      <c r="AS20" s="49">
        <f t="shared" si="19"/>
        <v>0</v>
      </c>
      <c r="AT20" s="49">
        <f t="shared" si="20"/>
        <v>0</v>
      </c>
      <c r="AU20" s="49">
        <v>0</v>
      </c>
      <c r="AV20" s="49">
        <f t="shared" si="21"/>
        <v>0.1368</v>
      </c>
    </row>
    <row r="21" spans="1:48" ht="12.75">
      <c r="A21" s="1" t="s">
        <v>13</v>
      </c>
      <c r="B21" s="1" t="s">
        <v>99</v>
      </c>
      <c r="C21" s="1" t="s">
        <v>111</v>
      </c>
      <c r="D21" s="1" t="s">
        <v>216</v>
      </c>
      <c r="E21" s="1" t="s">
        <v>327</v>
      </c>
      <c r="F21" s="3">
        <f>'01-BOURACÍ PRÁCE'!AR20</f>
        <v>2</v>
      </c>
      <c r="G21" s="3">
        <f>'01-BOURACÍ PRÁCE'!AW20</f>
        <v>0</v>
      </c>
      <c r="H21" s="3">
        <f t="shared" si="0"/>
        <v>0</v>
      </c>
      <c r="I21" s="3">
        <f t="shared" si="1"/>
        <v>0</v>
      </c>
      <c r="J21" s="3">
        <f t="shared" si="2"/>
        <v>0</v>
      </c>
      <c r="K21" s="3">
        <v>0.0172</v>
      </c>
      <c r="L21" s="3">
        <f t="shared" si="3"/>
        <v>0.0344</v>
      </c>
      <c r="M21" s="46" t="s">
        <v>380</v>
      </c>
      <c r="P21" s="49">
        <f t="shared" si="4"/>
        <v>0</v>
      </c>
      <c r="R21" s="49">
        <f t="shared" si="5"/>
        <v>0</v>
      </c>
      <c r="S21" s="49">
        <f t="shared" si="6"/>
        <v>0</v>
      </c>
      <c r="T21" s="49">
        <f t="shared" si="7"/>
        <v>0</v>
      </c>
      <c r="U21" s="49">
        <f t="shared" si="8"/>
        <v>0</v>
      </c>
      <c r="V21" s="49">
        <f t="shared" si="9"/>
        <v>0</v>
      </c>
      <c r="W21" s="49">
        <f t="shared" si="10"/>
        <v>0</v>
      </c>
      <c r="X21" s="49">
        <f t="shared" si="11"/>
        <v>0</v>
      </c>
      <c r="Y21" s="41" t="s">
        <v>99</v>
      </c>
      <c r="Z21" s="3">
        <f t="shared" si="12"/>
        <v>0</v>
      </c>
      <c r="AA21" s="3">
        <f t="shared" si="13"/>
        <v>0</v>
      </c>
      <c r="AB21" s="3">
        <f t="shared" si="14"/>
        <v>0</v>
      </c>
      <c r="AD21" s="49">
        <v>21</v>
      </c>
      <c r="AE21" s="49">
        <f t="shared" si="15"/>
        <v>0</v>
      </c>
      <c r="AF21" s="49">
        <f t="shared" si="16"/>
        <v>0</v>
      </c>
      <c r="AG21" s="46" t="s">
        <v>7</v>
      </c>
      <c r="AM21" s="49">
        <f t="shared" si="17"/>
        <v>0</v>
      </c>
      <c r="AN21" s="49">
        <f t="shared" si="18"/>
        <v>0</v>
      </c>
      <c r="AO21" s="50" t="s">
        <v>391</v>
      </c>
      <c r="AP21" s="50" t="s">
        <v>410</v>
      </c>
      <c r="AQ21" s="41" t="s">
        <v>420</v>
      </c>
      <c r="AS21" s="49">
        <f t="shared" si="19"/>
        <v>0</v>
      </c>
      <c r="AT21" s="49">
        <f t="shared" si="20"/>
        <v>0</v>
      </c>
      <c r="AU21" s="49">
        <v>0</v>
      </c>
      <c r="AV21" s="49">
        <f t="shared" si="21"/>
        <v>0.0344</v>
      </c>
    </row>
    <row r="22" spans="1:48" ht="12.75">
      <c r="A22" s="1" t="s">
        <v>14</v>
      </c>
      <c r="B22" s="1" t="s">
        <v>99</v>
      </c>
      <c r="C22" s="1" t="s">
        <v>112</v>
      </c>
      <c r="D22" s="1" t="s">
        <v>217</v>
      </c>
      <c r="E22" s="1" t="s">
        <v>327</v>
      </c>
      <c r="F22" s="3">
        <f>'01-BOURACÍ PRÁCE'!AR21</f>
        <v>1</v>
      </c>
      <c r="G22" s="3">
        <f>'01-BOURACÍ PRÁCE'!AW21</f>
        <v>0</v>
      </c>
      <c r="H22" s="3">
        <f t="shared" si="0"/>
        <v>0</v>
      </c>
      <c r="I22" s="3">
        <f t="shared" si="1"/>
        <v>0</v>
      </c>
      <c r="J22" s="3">
        <f t="shared" si="2"/>
        <v>0</v>
      </c>
      <c r="K22" s="3">
        <v>0.0347</v>
      </c>
      <c r="L22" s="3">
        <f t="shared" si="3"/>
        <v>0.0347</v>
      </c>
      <c r="M22" s="46" t="s">
        <v>380</v>
      </c>
      <c r="P22" s="49">
        <f t="shared" si="4"/>
        <v>0</v>
      </c>
      <c r="R22" s="49">
        <f t="shared" si="5"/>
        <v>0</v>
      </c>
      <c r="S22" s="49">
        <f t="shared" si="6"/>
        <v>0</v>
      </c>
      <c r="T22" s="49">
        <f t="shared" si="7"/>
        <v>0</v>
      </c>
      <c r="U22" s="49">
        <f t="shared" si="8"/>
        <v>0</v>
      </c>
      <c r="V22" s="49">
        <f t="shared" si="9"/>
        <v>0</v>
      </c>
      <c r="W22" s="49">
        <f t="shared" si="10"/>
        <v>0</v>
      </c>
      <c r="X22" s="49">
        <f t="shared" si="11"/>
        <v>0</v>
      </c>
      <c r="Y22" s="41" t="s">
        <v>99</v>
      </c>
      <c r="Z22" s="3">
        <f t="shared" si="12"/>
        <v>0</v>
      </c>
      <c r="AA22" s="3">
        <f t="shared" si="13"/>
        <v>0</v>
      </c>
      <c r="AB22" s="3">
        <f t="shared" si="14"/>
        <v>0</v>
      </c>
      <c r="AD22" s="49">
        <v>21</v>
      </c>
      <c r="AE22" s="49">
        <f t="shared" si="15"/>
        <v>0</v>
      </c>
      <c r="AF22" s="49">
        <f t="shared" si="16"/>
        <v>0</v>
      </c>
      <c r="AG22" s="46" t="s">
        <v>7</v>
      </c>
      <c r="AM22" s="49">
        <f t="shared" si="17"/>
        <v>0</v>
      </c>
      <c r="AN22" s="49">
        <f t="shared" si="18"/>
        <v>0</v>
      </c>
      <c r="AO22" s="50" t="s">
        <v>391</v>
      </c>
      <c r="AP22" s="50" t="s">
        <v>410</v>
      </c>
      <c r="AQ22" s="41" t="s">
        <v>420</v>
      </c>
      <c r="AS22" s="49">
        <f t="shared" si="19"/>
        <v>0</v>
      </c>
      <c r="AT22" s="49">
        <f t="shared" si="20"/>
        <v>0</v>
      </c>
      <c r="AU22" s="49">
        <v>0</v>
      </c>
      <c r="AV22" s="49">
        <f t="shared" si="21"/>
        <v>0.0347</v>
      </c>
    </row>
    <row r="23" spans="1:48" ht="12.75">
      <c r="A23" s="1" t="s">
        <v>15</v>
      </c>
      <c r="B23" s="1" t="s">
        <v>99</v>
      </c>
      <c r="C23" s="1" t="s">
        <v>113</v>
      </c>
      <c r="D23" s="1" t="s">
        <v>218</v>
      </c>
      <c r="E23" s="1" t="s">
        <v>328</v>
      </c>
      <c r="F23" s="3">
        <f>'01-BOURACÍ PRÁCE'!AR22</f>
        <v>25</v>
      </c>
      <c r="G23" s="3">
        <f>'01-BOURACÍ PRÁCE'!AW22</f>
        <v>0</v>
      </c>
      <c r="H23" s="3">
        <f t="shared" si="0"/>
        <v>0</v>
      </c>
      <c r="I23" s="3">
        <f t="shared" si="1"/>
        <v>0</v>
      </c>
      <c r="J23" s="3">
        <f t="shared" si="2"/>
        <v>0</v>
      </c>
      <c r="K23" s="3">
        <v>0.00028</v>
      </c>
      <c r="L23" s="3">
        <f t="shared" si="3"/>
        <v>0.006999999999999999</v>
      </c>
      <c r="M23" s="46" t="s">
        <v>380</v>
      </c>
      <c r="P23" s="49">
        <f t="shared" si="4"/>
        <v>0</v>
      </c>
      <c r="R23" s="49">
        <f t="shared" si="5"/>
        <v>0</v>
      </c>
      <c r="S23" s="49">
        <f t="shared" si="6"/>
        <v>0</v>
      </c>
      <c r="T23" s="49">
        <f t="shared" si="7"/>
        <v>0</v>
      </c>
      <c r="U23" s="49">
        <f t="shared" si="8"/>
        <v>0</v>
      </c>
      <c r="V23" s="49">
        <f t="shared" si="9"/>
        <v>0</v>
      </c>
      <c r="W23" s="49">
        <f t="shared" si="10"/>
        <v>0</v>
      </c>
      <c r="X23" s="49">
        <f t="shared" si="11"/>
        <v>0</v>
      </c>
      <c r="Y23" s="41" t="s">
        <v>99</v>
      </c>
      <c r="Z23" s="3">
        <f t="shared" si="12"/>
        <v>0</v>
      </c>
      <c r="AA23" s="3">
        <f t="shared" si="13"/>
        <v>0</v>
      </c>
      <c r="AB23" s="3">
        <f t="shared" si="14"/>
        <v>0</v>
      </c>
      <c r="AD23" s="49">
        <v>21</v>
      </c>
      <c r="AE23" s="49">
        <f t="shared" si="15"/>
        <v>0</v>
      </c>
      <c r="AF23" s="49">
        <f t="shared" si="16"/>
        <v>0</v>
      </c>
      <c r="AG23" s="46" t="s">
        <v>7</v>
      </c>
      <c r="AM23" s="49">
        <f t="shared" si="17"/>
        <v>0</v>
      </c>
      <c r="AN23" s="49">
        <f t="shared" si="18"/>
        <v>0</v>
      </c>
      <c r="AO23" s="50" t="s">
        <v>391</v>
      </c>
      <c r="AP23" s="50" t="s">
        <v>410</v>
      </c>
      <c r="AQ23" s="41" t="s">
        <v>420</v>
      </c>
      <c r="AS23" s="49">
        <f t="shared" si="19"/>
        <v>0</v>
      </c>
      <c r="AT23" s="49">
        <f t="shared" si="20"/>
        <v>0</v>
      </c>
      <c r="AU23" s="49">
        <v>0</v>
      </c>
      <c r="AV23" s="49">
        <f t="shared" si="21"/>
        <v>0.006999999999999999</v>
      </c>
    </row>
    <row r="24" spans="1:48" ht="12.75">
      <c r="A24" s="1" t="s">
        <v>16</v>
      </c>
      <c r="B24" s="1" t="s">
        <v>99</v>
      </c>
      <c r="C24" s="1" t="s">
        <v>114</v>
      </c>
      <c r="D24" s="1" t="s">
        <v>219</v>
      </c>
      <c r="E24" s="1" t="s">
        <v>328</v>
      </c>
      <c r="F24" s="3">
        <f>'01-BOURACÍ PRÁCE'!AR23</f>
        <v>15</v>
      </c>
      <c r="G24" s="3">
        <f>'01-BOURACÍ PRÁCE'!AW23</f>
        <v>0</v>
      </c>
      <c r="H24" s="3">
        <f t="shared" si="0"/>
        <v>0</v>
      </c>
      <c r="I24" s="3">
        <f t="shared" si="1"/>
        <v>0</v>
      </c>
      <c r="J24" s="3">
        <f t="shared" si="2"/>
        <v>0</v>
      </c>
      <c r="K24" s="3">
        <v>0.00198</v>
      </c>
      <c r="L24" s="3">
        <f t="shared" si="3"/>
        <v>0.0297</v>
      </c>
      <c r="M24" s="46" t="s">
        <v>380</v>
      </c>
      <c r="P24" s="49">
        <f t="shared" si="4"/>
        <v>0</v>
      </c>
      <c r="R24" s="49">
        <f t="shared" si="5"/>
        <v>0</v>
      </c>
      <c r="S24" s="49">
        <f t="shared" si="6"/>
        <v>0</v>
      </c>
      <c r="T24" s="49">
        <f t="shared" si="7"/>
        <v>0</v>
      </c>
      <c r="U24" s="49">
        <f t="shared" si="8"/>
        <v>0</v>
      </c>
      <c r="V24" s="49">
        <f t="shared" si="9"/>
        <v>0</v>
      </c>
      <c r="W24" s="49">
        <f t="shared" si="10"/>
        <v>0</v>
      </c>
      <c r="X24" s="49">
        <f t="shared" si="11"/>
        <v>0</v>
      </c>
      <c r="Y24" s="41" t="s">
        <v>99</v>
      </c>
      <c r="Z24" s="3">
        <f t="shared" si="12"/>
        <v>0</v>
      </c>
      <c r="AA24" s="3">
        <f t="shared" si="13"/>
        <v>0</v>
      </c>
      <c r="AB24" s="3">
        <f t="shared" si="14"/>
        <v>0</v>
      </c>
      <c r="AD24" s="49">
        <v>21</v>
      </c>
      <c r="AE24" s="49">
        <f t="shared" si="15"/>
        <v>0</v>
      </c>
      <c r="AF24" s="49">
        <f t="shared" si="16"/>
        <v>0</v>
      </c>
      <c r="AG24" s="46" t="s">
        <v>7</v>
      </c>
      <c r="AM24" s="49">
        <f t="shared" si="17"/>
        <v>0</v>
      </c>
      <c r="AN24" s="49">
        <f t="shared" si="18"/>
        <v>0</v>
      </c>
      <c r="AO24" s="50" t="s">
        <v>391</v>
      </c>
      <c r="AP24" s="50" t="s">
        <v>410</v>
      </c>
      <c r="AQ24" s="41" t="s">
        <v>420</v>
      </c>
      <c r="AS24" s="49">
        <f t="shared" si="19"/>
        <v>0</v>
      </c>
      <c r="AT24" s="49">
        <f t="shared" si="20"/>
        <v>0</v>
      </c>
      <c r="AU24" s="49">
        <v>0</v>
      </c>
      <c r="AV24" s="49">
        <f t="shared" si="21"/>
        <v>0.0297</v>
      </c>
    </row>
    <row r="25" spans="1:48" ht="12.75">
      <c r="A25" s="1" t="s">
        <v>17</v>
      </c>
      <c r="B25" s="1" t="s">
        <v>99</v>
      </c>
      <c r="C25" s="1" t="s">
        <v>115</v>
      </c>
      <c r="D25" s="1" t="s">
        <v>220</v>
      </c>
      <c r="E25" s="1" t="s">
        <v>325</v>
      </c>
      <c r="F25" s="3">
        <f>'01-BOURACÍ PRÁCE'!AR24</f>
        <v>25.25</v>
      </c>
      <c r="G25" s="3">
        <f>'01-BOURACÍ PRÁCE'!AW24</f>
        <v>0</v>
      </c>
      <c r="H25" s="3">
        <f t="shared" si="0"/>
        <v>0</v>
      </c>
      <c r="I25" s="3">
        <f t="shared" si="1"/>
        <v>0</v>
      </c>
      <c r="J25" s="3">
        <f t="shared" si="2"/>
        <v>0</v>
      </c>
      <c r="K25" s="3">
        <v>0.02</v>
      </c>
      <c r="L25" s="3">
        <f t="shared" si="3"/>
        <v>0.505</v>
      </c>
      <c r="M25" s="46" t="s">
        <v>380</v>
      </c>
      <c r="P25" s="49">
        <f t="shared" si="4"/>
        <v>0</v>
      </c>
      <c r="R25" s="49">
        <f t="shared" si="5"/>
        <v>0</v>
      </c>
      <c r="S25" s="49">
        <f t="shared" si="6"/>
        <v>0</v>
      </c>
      <c r="T25" s="49">
        <f t="shared" si="7"/>
        <v>0</v>
      </c>
      <c r="U25" s="49">
        <f t="shared" si="8"/>
        <v>0</v>
      </c>
      <c r="V25" s="49">
        <f t="shared" si="9"/>
        <v>0</v>
      </c>
      <c r="W25" s="49">
        <f t="shared" si="10"/>
        <v>0</v>
      </c>
      <c r="X25" s="49">
        <f t="shared" si="11"/>
        <v>0</v>
      </c>
      <c r="Y25" s="41" t="s">
        <v>99</v>
      </c>
      <c r="Z25" s="3">
        <f t="shared" si="12"/>
        <v>0</v>
      </c>
      <c r="AA25" s="3">
        <f t="shared" si="13"/>
        <v>0</v>
      </c>
      <c r="AB25" s="3">
        <f t="shared" si="14"/>
        <v>0</v>
      </c>
      <c r="AD25" s="49">
        <v>21</v>
      </c>
      <c r="AE25" s="49">
        <f t="shared" si="15"/>
        <v>0</v>
      </c>
      <c r="AF25" s="49">
        <f t="shared" si="16"/>
        <v>0</v>
      </c>
      <c r="AG25" s="46" t="s">
        <v>7</v>
      </c>
      <c r="AM25" s="49">
        <f t="shared" si="17"/>
        <v>0</v>
      </c>
      <c r="AN25" s="49">
        <f t="shared" si="18"/>
        <v>0</v>
      </c>
      <c r="AO25" s="50" t="s">
        <v>391</v>
      </c>
      <c r="AP25" s="50" t="s">
        <v>410</v>
      </c>
      <c r="AQ25" s="41" t="s">
        <v>420</v>
      </c>
      <c r="AS25" s="49">
        <f t="shared" si="19"/>
        <v>0</v>
      </c>
      <c r="AT25" s="49">
        <f t="shared" si="20"/>
        <v>0</v>
      </c>
      <c r="AU25" s="49">
        <v>0</v>
      </c>
      <c r="AV25" s="49">
        <f t="shared" si="21"/>
        <v>0.505</v>
      </c>
    </row>
    <row r="26" spans="1:48" ht="12.75">
      <c r="A26" s="1" t="s">
        <v>18</v>
      </c>
      <c r="B26" s="1" t="s">
        <v>99</v>
      </c>
      <c r="C26" s="1" t="s">
        <v>116</v>
      </c>
      <c r="D26" s="1" t="s">
        <v>221</v>
      </c>
      <c r="E26" s="1" t="s">
        <v>325</v>
      </c>
      <c r="F26" s="3">
        <f>'01-BOURACÍ PRÁCE'!AR25</f>
        <v>4.73</v>
      </c>
      <c r="G26" s="3">
        <f>'01-BOURACÍ PRÁCE'!AW25</f>
        <v>0</v>
      </c>
      <c r="H26" s="3">
        <f t="shared" si="0"/>
        <v>0</v>
      </c>
      <c r="I26" s="3">
        <f t="shared" si="1"/>
        <v>0</v>
      </c>
      <c r="J26" s="3">
        <f t="shared" si="2"/>
        <v>0</v>
      </c>
      <c r="K26" s="3">
        <v>0.07717</v>
      </c>
      <c r="L26" s="3">
        <f t="shared" si="3"/>
        <v>0.36501410000000006</v>
      </c>
      <c r="M26" s="46" t="s">
        <v>380</v>
      </c>
      <c r="P26" s="49">
        <f t="shared" si="4"/>
        <v>0</v>
      </c>
      <c r="R26" s="49">
        <f t="shared" si="5"/>
        <v>0</v>
      </c>
      <c r="S26" s="49">
        <f t="shared" si="6"/>
        <v>0</v>
      </c>
      <c r="T26" s="49">
        <f t="shared" si="7"/>
        <v>0</v>
      </c>
      <c r="U26" s="49">
        <f t="shared" si="8"/>
        <v>0</v>
      </c>
      <c r="V26" s="49">
        <f t="shared" si="9"/>
        <v>0</v>
      </c>
      <c r="W26" s="49">
        <f t="shared" si="10"/>
        <v>0</v>
      </c>
      <c r="X26" s="49">
        <f t="shared" si="11"/>
        <v>0</v>
      </c>
      <c r="Y26" s="41" t="s">
        <v>99</v>
      </c>
      <c r="Z26" s="3">
        <f t="shared" si="12"/>
        <v>0</v>
      </c>
      <c r="AA26" s="3">
        <f t="shared" si="13"/>
        <v>0</v>
      </c>
      <c r="AB26" s="3">
        <f t="shared" si="14"/>
        <v>0</v>
      </c>
      <c r="AD26" s="49">
        <v>21</v>
      </c>
      <c r="AE26" s="49">
        <f>G26*0.0874356166202044</f>
        <v>0</v>
      </c>
      <c r="AF26" s="49">
        <f>G26*(1-0.0874356166202044)</f>
        <v>0</v>
      </c>
      <c r="AG26" s="46" t="s">
        <v>7</v>
      </c>
      <c r="AM26" s="49">
        <f t="shared" si="17"/>
        <v>0</v>
      </c>
      <c r="AN26" s="49">
        <f t="shared" si="18"/>
        <v>0</v>
      </c>
      <c r="AO26" s="50" t="s">
        <v>391</v>
      </c>
      <c r="AP26" s="50" t="s">
        <v>410</v>
      </c>
      <c r="AQ26" s="41" t="s">
        <v>420</v>
      </c>
      <c r="AS26" s="49">
        <f t="shared" si="19"/>
        <v>0</v>
      </c>
      <c r="AT26" s="49">
        <f t="shared" si="20"/>
        <v>0</v>
      </c>
      <c r="AU26" s="49">
        <v>0</v>
      </c>
      <c r="AV26" s="49">
        <f t="shared" si="21"/>
        <v>0.36501410000000006</v>
      </c>
    </row>
    <row r="27" spans="1:48" ht="12.75">
      <c r="A27" s="1" t="s">
        <v>19</v>
      </c>
      <c r="B27" s="1" t="s">
        <v>99</v>
      </c>
      <c r="C27" s="1" t="s">
        <v>117</v>
      </c>
      <c r="D27" s="1" t="s">
        <v>222</v>
      </c>
      <c r="E27" s="1" t="s">
        <v>329</v>
      </c>
      <c r="F27" s="3">
        <f>'01-BOURACÍ PRÁCE'!AR26</f>
        <v>4</v>
      </c>
      <c r="G27" s="3">
        <f>'01-BOURACÍ PRÁCE'!AW26</f>
        <v>0</v>
      </c>
      <c r="H27" s="3">
        <f t="shared" si="0"/>
        <v>0</v>
      </c>
      <c r="I27" s="3">
        <f t="shared" si="1"/>
        <v>0</v>
      </c>
      <c r="J27" s="3">
        <f t="shared" si="2"/>
        <v>0</v>
      </c>
      <c r="K27" s="3">
        <v>0</v>
      </c>
      <c r="L27" s="3">
        <f t="shared" si="3"/>
        <v>0</v>
      </c>
      <c r="M27" s="46" t="s">
        <v>380</v>
      </c>
      <c r="P27" s="49">
        <f t="shared" si="4"/>
        <v>0</v>
      </c>
      <c r="R27" s="49">
        <f t="shared" si="5"/>
        <v>0</v>
      </c>
      <c r="S27" s="49">
        <f t="shared" si="6"/>
        <v>0</v>
      </c>
      <c r="T27" s="49">
        <f t="shared" si="7"/>
        <v>0</v>
      </c>
      <c r="U27" s="49">
        <f t="shared" si="8"/>
        <v>0</v>
      </c>
      <c r="V27" s="49">
        <f t="shared" si="9"/>
        <v>0</v>
      </c>
      <c r="W27" s="49">
        <f t="shared" si="10"/>
        <v>0</v>
      </c>
      <c r="X27" s="49">
        <f t="shared" si="11"/>
        <v>0</v>
      </c>
      <c r="Y27" s="41" t="s">
        <v>99</v>
      </c>
      <c r="Z27" s="3">
        <f t="shared" si="12"/>
        <v>0</v>
      </c>
      <c r="AA27" s="3">
        <f t="shared" si="13"/>
        <v>0</v>
      </c>
      <c r="AB27" s="3">
        <f t="shared" si="14"/>
        <v>0</v>
      </c>
      <c r="AD27" s="49">
        <v>21</v>
      </c>
      <c r="AE27" s="49">
        <f>G27*0</f>
        <v>0</v>
      </c>
      <c r="AF27" s="49">
        <f>G27*(1-0)</f>
        <v>0</v>
      </c>
      <c r="AG27" s="46" t="s">
        <v>7</v>
      </c>
      <c r="AM27" s="49">
        <f t="shared" si="17"/>
        <v>0</v>
      </c>
      <c r="AN27" s="49">
        <f t="shared" si="18"/>
        <v>0</v>
      </c>
      <c r="AO27" s="50" t="s">
        <v>391</v>
      </c>
      <c r="AP27" s="50" t="s">
        <v>410</v>
      </c>
      <c r="AQ27" s="41" t="s">
        <v>420</v>
      </c>
      <c r="AS27" s="49">
        <f t="shared" si="19"/>
        <v>0</v>
      </c>
      <c r="AT27" s="49">
        <f t="shared" si="20"/>
        <v>0</v>
      </c>
      <c r="AU27" s="49">
        <v>0</v>
      </c>
      <c r="AV27" s="49">
        <f t="shared" si="21"/>
        <v>0</v>
      </c>
    </row>
    <row r="28" spans="1:48" ht="12.75">
      <c r="A28" s="1" t="s">
        <v>20</v>
      </c>
      <c r="B28" s="1" t="s">
        <v>99</v>
      </c>
      <c r="C28" s="1" t="s">
        <v>118</v>
      </c>
      <c r="D28" s="1" t="s">
        <v>223</v>
      </c>
      <c r="E28" s="1" t="s">
        <v>330</v>
      </c>
      <c r="F28" s="3">
        <f>'01-BOURACÍ PRÁCE'!AR27</f>
        <v>4.18</v>
      </c>
      <c r="G28" s="3">
        <f>'01-BOURACÍ PRÁCE'!AW27</f>
        <v>0</v>
      </c>
      <c r="H28" s="3">
        <f t="shared" si="0"/>
        <v>0</v>
      </c>
      <c r="I28" s="3">
        <f t="shared" si="1"/>
        <v>0</v>
      </c>
      <c r="J28" s="3">
        <f t="shared" si="2"/>
        <v>0</v>
      </c>
      <c r="K28" s="3">
        <v>1.80128</v>
      </c>
      <c r="L28" s="3">
        <f t="shared" si="3"/>
        <v>7.529350399999999</v>
      </c>
      <c r="M28" s="46" t="s">
        <v>380</v>
      </c>
      <c r="P28" s="49">
        <f t="shared" si="4"/>
        <v>0</v>
      </c>
      <c r="R28" s="49">
        <f t="shared" si="5"/>
        <v>0</v>
      </c>
      <c r="S28" s="49">
        <f t="shared" si="6"/>
        <v>0</v>
      </c>
      <c r="T28" s="49">
        <f t="shared" si="7"/>
        <v>0</v>
      </c>
      <c r="U28" s="49">
        <f t="shared" si="8"/>
        <v>0</v>
      </c>
      <c r="V28" s="49">
        <f t="shared" si="9"/>
        <v>0</v>
      </c>
      <c r="W28" s="49">
        <f t="shared" si="10"/>
        <v>0</v>
      </c>
      <c r="X28" s="49">
        <f t="shared" si="11"/>
        <v>0</v>
      </c>
      <c r="Y28" s="41" t="s">
        <v>99</v>
      </c>
      <c r="Z28" s="3">
        <f t="shared" si="12"/>
        <v>0</v>
      </c>
      <c r="AA28" s="3">
        <f t="shared" si="13"/>
        <v>0</v>
      </c>
      <c r="AB28" s="3">
        <f t="shared" si="14"/>
        <v>0</v>
      </c>
      <c r="AD28" s="49">
        <v>21</v>
      </c>
      <c r="AE28" s="49">
        <f>G28*0.0437553956834532</f>
        <v>0</v>
      </c>
      <c r="AF28" s="49">
        <f>G28*(1-0.0437553956834532)</f>
        <v>0</v>
      </c>
      <c r="AG28" s="46" t="s">
        <v>7</v>
      </c>
      <c r="AM28" s="49">
        <f t="shared" si="17"/>
        <v>0</v>
      </c>
      <c r="AN28" s="49">
        <f t="shared" si="18"/>
        <v>0</v>
      </c>
      <c r="AO28" s="50" t="s">
        <v>391</v>
      </c>
      <c r="AP28" s="50" t="s">
        <v>410</v>
      </c>
      <c r="AQ28" s="41" t="s">
        <v>420</v>
      </c>
      <c r="AS28" s="49">
        <f t="shared" si="19"/>
        <v>0</v>
      </c>
      <c r="AT28" s="49">
        <f t="shared" si="20"/>
        <v>0</v>
      </c>
      <c r="AU28" s="49">
        <v>0</v>
      </c>
      <c r="AV28" s="49">
        <f t="shared" si="21"/>
        <v>7.529350399999999</v>
      </c>
    </row>
    <row r="29" spans="1:48" ht="12.75">
      <c r="A29" s="1" t="s">
        <v>21</v>
      </c>
      <c r="B29" s="1" t="s">
        <v>99</v>
      </c>
      <c r="C29" s="1" t="s">
        <v>119</v>
      </c>
      <c r="D29" s="1" t="s">
        <v>224</v>
      </c>
      <c r="E29" s="1" t="s">
        <v>326</v>
      </c>
      <c r="F29" s="3">
        <f>'01-BOURACÍ PRÁCE'!AR28</f>
        <v>4</v>
      </c>
      <c r="G29" s="3">
        <f>'01-BOURACÍ PRÁCE'!AW28</f>
        <v>0</v>
      </c>
      <c r="H29" s="3">
        <f t="shared" si="0"/>
        <v>0</v>
      </c>
      <c r="I29" s="3">
        <f t="shared" si="1"/>
        <v>0</v>
      </c>
      <c r="J29" s="3">
        <f t="shared" si="2"/>
        <v>0</v>
      </c>
      <c r="K29" s="3">
        <v>0</v>
      </c>
      <c r="L29" s="3">
        <f t="shared" si="3"/>
        <v>0</v>
      </c>
      <c r="M29" s="46"/>
      <c r="P29" s="49">
        <f t="shared" si="4"/>
        <v>0</v>
      </c>
      <c r="R29" s="49">
        <f t="shared" si="5"/>
        <v>0</v>
      </c>
      <c r="S29" s="49">
        <f t="shared" si="6"/>
        <v>0</v>
      </c>
      <c r="T29" s="49">
        <f t="shared" si="7"/>
        <v>0</v>
      </c>
      <c r="U29" s="49">
        <f t="shared" si="8"/>
        <v>0</v>
      </c>
      <c r="V29" s="49">
        <f t="shared" si="9"/>
        <v>0</v>
      </c>
      <c r="W29" s="49">
        <f t="shared" si="10"/>
        <v>0</v>
      </c>
      <c r="X29" s="49">
        <f t="shared" si="11"/>
        <v>0</v>
      </c>
      <c r="Y29" s="41" t="s">
        <v>99</v>
      </c>
      <c r="Z29" s="3">
        <f t="shared" si="12"/>
        <v>0</v>
      </c>
      <c r="AA29" s="3">
        <f t="shared" si="13"/>
        <v>0</v>
      </c>
      <c r="AB29" s="3">
        <f t="shared" si="14"/>
        <v>0</v>
      </c>
      <c r="AD29" s="49">
        <v>21</v>
      </c>
      <c r="AE29" s="49">
        <f>G29*0</f>
        <v>0</v>
      </c>
      <c r="AF29" s="49">
        <f>G29*(1-0)</f>
        <v>0</v>
      </c>
      <c r="AG29" s="46" t="s">
        <v>7</v>
      </c>
      <c r="AM29" s="49">
        <f t="shared" si="17"/>
        <v>0</v>
      </c>
      <c r="AN29" s="49">
        <f t="shared" si="18"/>
        <v>0</v>
      </c>
      <c r="AO29" s="50" t="s">
        <v>391</v>
      </c>
      <c r="AP29" s="50" t="s">
        <v>410</v>
      </c>
      <c r="AQ29" s="41" t="s">
        <v>420</v>
      </c>
      <c r="AS29" s="49">
        <f t="shared" si="19"/>
        <v>0</v>
      </c>
      <c r="AT29" s="49">
        <f t="shared" si="20"/>
        <v>0</v>
      </c>
      <c r="AU29" s="49">
        <v>0</v>
      </c>
      <c r="AV29" s="49">
        <f t="shared" si="21"/>
        <v>0</v>
      </c>
    </row>
    <row r="30" spans="1:48" ht="12.75">
      <c r="A30" s="1" t="s">
        <v>22</v>
      </c>
      <c r="B30" s="1" t="s">
        <v>99</v>
      </c>
      <c r="C30" s="1" t="s">
        <v>120</v>
      </c>
      <c r="D30" s="1" t="s">
        <v>225</v>
      </c>
      <c r="E30" s="1" t="s">
        <v>325</v>
      </c>
      <c r="F30" s="3">
        <f>'01-BOURACÍ PRÁCE'!AR29</f>
        <v>7.66</v>
      </c>
      <c r="G30" s="3">
        <f>'01-BOURACÍ PRÁCE'!AW29</f>
        <v>0</v>
      </c>
      <c r="H30" s="3">
        <f t="shared" si="0"/>
        <v>0</v>
      </c>
      <c r="I30" s="3">
        <f t="shared" si="1"/>
        <v>0</v>
      </c>
      <c r="J30" s="3">
        <f t="shared" si="2"/>
        <v>0</v>
      </c>
      <c r="K30" s="3">
        <v>0.18467</v>
      </c>
      <c r="L30" s="3">
        <f t="shared" si="3"/>
        <v>1.4145722</v>
      </c>
      <c r="M30" s="46" t="s">
        <v>380</v>
      </c>
      <c r="P30" s="49">
        <f t="shared" si="4"/>
        <v>0</v>
      </c>
      <c r="R30" s="49">
        <f t="shared" si="5"/>
        <v>0</v>
      </c>
      <c r="S30" s="49">
        <f t="shared" si="6"/>
        <v>0</v>
      </c>
      <c r="T30" s="49">
        <f t="shared" si="7"/>
        <v>0</v>
      </c>
      <c r="U30" s="49">
        <f t="shared" si="8"/>
        <v>0</v>
      </c>
      <c r="V30" s="49">
        <f t="shared" si="9"/>
        <v>0</v>
      </c>
      <c r="W30" s="49">
        <f t="shared" si="10"/>
        <v>0</v>
      </c>
      <c r="X30" s="49">
        <f t="shared" si="11"/>
        <v>0</v>
      </c>
      <c r="Y30" s="41" t="s">
        <v>99</v>
      </c>
      <c r="Z30" s="3">
        <f t="shared" si="12"/>
        <v>0</v>
      </c>
      <c r="AA30" s="3">
        <f t="shared" si="13"/>
        <v>0</v>
      </c>
      <c r="AB30" s="3">
        <f t="shared" si="14"/>
        <v>0</v>
      </c>
      <c r="AD30" s="49">
        <v>21</v>
      </c>
      <c r="AE30" s="49">
        <f>G30*0.150147753990843</f>
        <v>0</v>
      </c>
      <c r="AF30" s="49">
        <f>G30*(1-0.150147753990843)</f>
        <v>0</v>
      </c>
      <c r="AG30" s="46" t="s">
        <v>7</v>
      </c>
      <c r="AM30" s="49">
        <f t="shared" si="17"/>
        <v>0</v>
      </c>
      <c r="AN30" s="49">
        <f t="shared" si="18"/>
        <v>0</v>
      </c>
      <c r="AO30" s="50" t="s">
        <v>391</v>
      </c>
      <c r="AP30" s="50" t="s">
        <v>410</v>
      </c>
      <c r="AQ30" s="41" t="s">
        <v>420</v>
      </c>
      <c r="AS30" s="49">
        <f t="shared" si="19"/>
        <v>0</v>
      </c>
      <c r="AT30" s="49">
        <f t="shared" si="20"/>
        <v>0</v>
      </c>
      <c r="AU30" s="49">
        <v>0</v>
      </c>
      <c r="AV30" s="49">
        <f t="shared" si="21"/>
        <v>1.4145722</v>
      </c>
    </row>
    <row r="31" spans="1:48" ht="12.75">
      <c r="A31" s="1" t="s">
        <v>23</v>
      </c>
      <c r="B31" s="1" t="s">
        <v>99</v>
      </c>
      <c r="C31" s="1" t="s">
        <v>121</v>
      </c>
      <c r="D31" s="1" t="s">
        <v>226</v>
      </c>
      <c r="E31" s="1" t="s">
        <v>325</v>
      </c>
      <c r="F31" s="3">
        <f>'01-BOURACÍ PRÁCE'!AR30</f>
        <v>85.51</v>
      </c>
      <c r="G31" s="3">
        <f>'01-BOURACÍ PRÁCE'!AW30</f>
        <v>0</v>
      </c>
      <c r="H31" s="3">
        <f t="shared" si="0"/>
        <v>0</v>
      </c>
      <c r="I31" s="3">
        <f t="shared" si="1"/>
        <v>0</v>
      </c>
      <c r="J31" s="3">
        <f t="shared" si="2"/>
        <v>0</v>
      </c>
      <c r="K31" s="3">
        <v>0.068</v>
      </c>
      <c r="L31" s="3">
        <f t="shared" si="3"/>
        <v>5.814680000000001</v>
      </c>
      <c r="M31" s="46" t="s">
        <v>380</v>
      </c>
      <c r="P31" s="49">
        <f t="shared" si="4"/>
        <v>0</v>
      </c>
      <c r="R31" s="49">
        <f t="shared" si="5"/>
        <v>0</v>
      </c>
      <c r="S31" s="49">
        <f t="shared" si="6"/>
        <v>0</v>
      </c>
      <c r="T31" s="49">
        <f t="shared" si="7"/>
        <v>0</v>
      </c>
      <c r="U31" s="49">
        <f t="shared" si="8"/>
        <v>0</v>
      </c>
      <c r="V31" s="49">
        <f t="shared" si="9"/>
        <v>0</v>
      </c>
      <c r="W31" s="49">
        <f t="shared" si="10"/>
        <v>0</v>
      </c>
      <c r="X31" s="49">
        <f t="shared" si="11"/>
        <v>0</v>
      </c>
      <c r="Y31" s="41" t="s">
        <v>99</v>
      </c>
      <c r="Z31" s="3">
        <f t="shared" si="12"/>
        <v>0</v>
      </c>
      <c r="AA31" s="3">
        <f t="shared" si="13"/>
        <v>0</v>
      </c>
      <c r="AB31" s="3">
        <f t="shared" si="14"/>
        <v>0</v>
      </c>
      <c r="AD31" s="49">
        <v>21</v>
      </c>
      <c r="AE31" s="49">
        <f>G31*0</f>
        <v>0</v>
      </c>
      <c r="AF31" s="49">
        <f>G31*(1-0)</f>
        <v>0</v>
      </c>
      <c r="AG31" s="46" t="s">
        <v>7</v>
      </c>
      <c r="AM31" s="49">
        <f t="shared" si="17"/>
        <v>0</v>
      </c>
      <c r="AN31" s="49">
        <f t="shared" si="18"/>
        <v>0</v>
      </c>
      <c r="AO31" s="50" t="s">
        <v>391</v>
      </c>
      <c r="AP31" s="50" t="s">
        <v>410</v>
      </c>
      <c r="AQ31" s="41" t="s">
        <v>420</v>
      </c>
      <c r="AS31" s="49">
        <f t="shared" si="19"/>
        <v>0</v>
      </c>
      <c r="AT31" s="49">
        <f t="shared" si="20"/>
        <v>0</v>
      </c>
      <c r="AU31" s="49">
        <v>0</v>
      </c>
      <c r="AV31" s="49">
        <f t="shared" si="21"/>
        <v>5.814680000000001</v>
      </c>
    </row>
    <row r="32" spans="1:48" ht="12.75">
      <c r="A32" s="1" t="s">
        <v>24</v>
      </c>
      <c r="B32" s="1" t="s">
        <v>99</v>
      </c>
      <c r="C32" s="1" t="s">
        <v>122</v>
      </c>
      <c r="D32" s="1" t="s">
        <v>227</v>
      </c>
      <c r="E32" s="1" t="s">
        <v>330</v>
      </c>
      <c r="F32" s="3">
        <f>'01-BOURACÍ PRÁCE'!AR31</f>
        <v>0.25</v>
      </c>
      <c r="G32" s="3">
        <f>'01-BOURACÍ PRÁCE'!AW31</f>
        <v>0</v>
      </c>
      <c r="H32" s="3">
        <f t="shared" si="0"/>
        <v>0</v>
      </c>
      <c r="I32" s="3">
        <f t="shared" si="1"/>
        <v>0</v>
      </c>
      <c r="J32" s="3">
        <f t="shared" si="2"/>
        <v>0</v>
      </c>
      <c r="K32" s="3">
        <v>2.2</v>
      </c>
      <c r="L32" s="3">
        <f t="shared" si="3"/>
        <v>0.55</v>
      </c>
      <c r="M32" s="46" t="s">
        <v>380</v>
      </c>
      <c r="P32" s="49">
        <f t="shared" si="4"/>
        <v>0</v>
      </c>
      <c r="R32" s="49">
        <f t="shared" si="5"/>
        <v>0</v>
      </c>
      <c r="S32" s="49">
        <f t="shared" si="6"/>
        <v>0</v>
      </c>
      <c r="T32" s="49">
        <f t="shared" si="7"/>
        <v>0</v>
      </c>
      <c r="U32" s="49">
        <f t="shared" si="8"/>
        <v>0</v>
      </c>
      <c r="V32" s="49">
        <f t="shared" si="9"/>
        <v>0</v>
      </c>
      <c r="W32" s="49">
        <f t="shared" si="10"/>
        <v>0</v>
      </c>
      <c r="X32" s="49">
        <f t="shared" si="11"/>
        <v>0</v>
      </c>
      <c r="Y32" s="41" t="s">
        <v>99</v>
      </c>
      <c r="Z32" s="3">
        <f t="shared" si="12"/>
        <v>0</v>
      </c>
      <c r="AA32" s="3">
        <f t="shared" si="13"/>
        <v>0</v>
      </c>
      <c r="AB32" s="3">
        <f t="shared" si="14"/>
        <v>0</v>
      </c>
      <c r="AD32" s="49">
        <v>21</v>
      </c>
      <c r="AE32" s="49">
        <f>G32*0</f>
        <v>0</v>
      </c>
      <c r="AF32" s="49">
        <f>G32*(1-0)</f>
        <v>0</v>
      </c>
      <c r="AG32" s="46" t="s">
        <v>7</v>
      </c>
      <c r="AM32" s="49">
        <f t="shared" si="17"/>
        <v>0</v>
      </c>
      <c r="AN32" s="49">
        <f t="shared" si="18"/>
        <v>0</v>
      </c>
      <c r="AO32" s="50" t="s">
        <v>391</v>
      </c>
      <c r="AP32" s="50" t="s">
        <v>410</v>
      </c>
      <c r="AQ32" s="41" t="s">
        <v>420</v>
      </c>
      <c r="AS32" s="49">
        <f t="shared" si="19"/>
        <v>0</v>
      </c>
      <c r="AT32" s="49">
        <f t="shared" si="20"/>
        <v>0</v>
      </c>
      <c r="AU32" s="49">
        <v>0</v>
      </c>
      <c r="AV32" s="49">
        <f t="shared" si="21"/>
        <v>0.55</v>
      </c>
    </row>
    <row r="33" spans="1:37" ht="12.75">
      <c r="A33" s="24"/>
      <c r="B33" s="31" t="s">
        <v>99</v>
      </c>
      <c r="C33" s="31" t="s">
        <v>123</v>
      </c>
      <c r="D33" s="31" t="s">
        <v>228</v>
      </c>
      <c r="E33" s="24" t="s">
        <v>6</v>
      </c>
      <c r="F33" s="24" t="s">
        <v>6</v>
      </c>
      <c r="G33" s="24" t="s">
        <v>6</v>
      </c>
      <c r="H33" s="6">
        <f>SUM(H34:H39)</f>
        <v>0</v>
      </c>
      <c r="I33" s="6">
        <f>SUM(I34:I39)</f>
        <v>0</v>
      </c>
      <c r="J33" s="6">
        <f>H33+I33</f>
        <v>0</v>
      </c>
      <c r="K33" s="41"/>
      <c r="L33" s="6">
        <f>SUM(L34:L39)</f>
        <v>0</v>
      </c>
      <c r="M33" s="41"/>
      <c r="Y33" s="41" t="s">
        <v>99</v>
      </c>
      <c r="AI33" s="6">
        <f>SUM(Z34:Z39)</f>
        <v>0</v>
      </c>
      <c r="AJ33" s="6">
        <f>SUM(AA34:AA39)</f>
        <v>0</v>
      </c>
      <c r="AK33" s="6">
        <f>SUM(AB34:AB39)</f>
        <v>0</v>
      </c>
    </row>
    <row r="34" spans="1:48" ht="12.75">
      <c r="A34" s="1" t="s">
        <v>25</v>
      </c>
      <c r="B34" s="1" t="s">
        <v>99</v>
      </c>
      <c r="C34" s="1" t="s">
        <v>124</v>
      </c>
      <c r="D34" s="1" t="s">
        <v>229</v>
      </c>
      <c r="E34" s="1" t="s">
        <v>331</v>
      </c>
      <c r="F34" s="3">
        <f>'01-BOURACÍ PRÁCE'!AR33</f>
        <v>16.49</v>
      </c>
      <c r="G34" s="3">
        <f>'01-BOURACÍ PRÁCE'!AW33</f>
        <v>0</v>
      </c>
      <c r="H34" s="3">
        <f aca="true" t="shared" si="22" ref="H34:H39">F34*AE34</f>
        <v>0</v>
      </c>
      <c r="I34" s="3">
        <f aca="true" t="shared" si="23" ref="I34:I39">J34-H34</f>
        <v>0</v>
      </c>
      <c r="J34" s="3">
        <f aca="true" t="shared" si="24" ref="J34:J39">F34*G34</f>
        <v>0</v>
      </c>
      <c r="K34" s="3">
        <v>0</v>
      </c>
      <c r="L34" s="3">
        <f aca="true" t="shared" si="25" ref="L34:L39">F34*K34</f>
        <v>0</v>
      </c>
      <c r="M34" s="46" t="s">
        <v>380</v>
      </c>
      <c r="P34" s="49">
        <f aca="true" t="shared" si="26" ref="P34:P39">IF(AG34="5",J34,0)</f>
        <v>0</v>
      </c>
      <c r="R34" s="49">
        <f aca="true" t="shared" si="27" ref="R34:R39">IF(AG34="1",H34,0)</f>
        <v>0</v>
      </c>
      <c r="S34" s="49">
        <f aca="true" t="shared" si="28" ref="S34:S39">IF(AG34="1",I34,0)</f>
        <v>0</v>
      </c>
      <c r="T34" s="49">
        <f aca="true" t="shared" si="29" ref="T34:T39">IF(AG34="7",H34,0)</f>
        <v>0</v>
      </c>
      <c r="U34" s="49">
        <f aca="true" t="shared" si="30" ref="U34:U39">IF(AG34="7",I34,0)</f>
        <v>0</v>
      </c>
      <c r="V34" s="49">
        <f aca="true" t="shared" si="31" ref="V34:V39">IF(AG34="2",H34,0)</f>
        <v>0</v>
      </c>
      <c r="W34" s="49">
        <f aca="true" t="shared" si="32" ref="W34:W39">IF(AG34="2",I34,0)</f>
        <v>0</v>
      </c>
      <c r="X34" s="49">
        <f aca="true" t="shared" si="33" ref="X34:X39">IF(AG34="0",J34,0)</f>
        <v>0</v>
      </c>
      <c r="Y34" s="41" t="s">
        <v>99</v>
      </c>
      <c r="Z34" s="3">
        <f aca="true" t="shared" si="34" ref="Z34:Z39">IF(AD34=0,J34,0)</f>
        <v>0</v>
      </c>
      <c r="AA34" s="3">
        <f aca="true" t="shared" si="35" ref="AA34:AA39">IF(AD34=15,J34,0)</f>
        <v>0</v>
      </c>
      <c r="AB34" s="3">
        <f aca="true" t="shared" si="36" ref="AB34:AB39">IF(AD34=21,J34,0)</f>
        <v>0</v>
      </c>
      <c r="AD34" s="49">
        <v>21</v>
      </c>
      <c r="AE34" s="49">
        <f>G34*0.0760561288305191</f>
        <v>0</v>
      </c>
      <c r="AF34" s="49">
        <f>G34*(1-0.0760561288305191)</f>
        <v>0</v>
      </c>
      <c r="AG34" s="46" t="s">
        <v>11</v>
      </c>
      <c r="AM34" s="49">
        <f aca="true" t="shared" si="37" ref="AM34:AM39">F34*AE34</f>
        <v>0</v>
      </c>
      <c r="AN34" s="49">
        <f aca="true" t="shared" si="38" ref="AN34:AN39">F34*AF34</f>
        <v>0</v>
      </c>
      <c r="AO34" s="50" t="s">
        <v>392</v>
      </c>
      <c r="AP34" s="50" t="s">
        <v>410</v>
      </c>
      <c r="AQ34" s="41" t="s">
        <v>420</v>
      </c>
      <c r="AS34" s="49">
        <f aca="true" t="shared" si="39" ref="AS34:AS39">AM34+AN34</f>
        <v>0</v>
      </c>
      <c r="AT34" s="49">
        <f aca="true" t="shared" si="40" ref="AT34:AT39">G34/(100-AU34)*100</f>
        <v>0</v>
      </c>
      <c r="AU34" s="49">
        <v>0</v>
      </c>
      <c r="AV34" s="49">
        <f aca="true" t="shared" si="41" ref="AV34:AV39">L34</f>
        <v>0</v>
      </c>
    </row>
    <row r="35" spans="1:48" ht="12.75">
      <c r="A35" s="1" t="s">
        <v>26</v>
      </c>
      <c r="B35" s="1" t="s">
        <v>99</v>
      </c>
      <c r="C35" s="1" t="s">
        <v>125</v>
      </c>
      <c r="D35" s="1" t="s">
        <v>230</v>
      </c>
      <c r="E35" s="1" t="s">
        <v>331</v>
      </c>
      <c r="F35" s="3">
        <f>'01-BOURACÍ PRÁCE'!AR34</f>
        <v>16.49</v>
      </c>
      <c r="G35" s="3">
        <f>'01-BOURACÍ PRÁCE'!AW34</f>
        <v>0</v>
      </c>
      <c r="H35" s="3">
        <f t="shared" si="22"/>
        <v>0</v>
      </c>
      <c r="I35" s="3">
        <f t="shared" si="23"/>
        <v>0</v>
      </c>
      <c r="J35" s="3">
        <f t="shared" si="24"/>
        <v>0</v>
      </c>
      <c r="K35" s="3">
        <v>0</v>
      </c>
      <c r="L35" s="3">
        <f t="shared" si="25"/>
        <v>0</v>
      </c>
      <c r="M35" s="46" t="s">
        <v>380</v>
      </c>
      <c r="P35" s="49">
        <f t="shared" si="26"/>
        <v>0</v>
      </c>
      <c r="R35" s="49">
        <f t="shared" si="27"/>
        <v>0</v>
      </c>
      <c r="S35" s="49">
        <f t="shared" si="28"/>
        <v>0</v>
      </c>
      <c r="T35" s="49">
        <f t="shared" si="29"/>
        <v>0</v>
      </c>
      <c r="U35" s="49">
        <f t="shared" si="30"/>
        <v>0</v>
      </c>
      <c r="V35" s="49">
        <f t="shared" si="31"/>
        <v>0</v>
      </c>
      <c r="W35" s="49">
        <f t="shared" si="32"/>
        <v>0</v>
      </c>
      <c r="X35" s="49">
        <f t="shared" si="33"/>
        <v>0</v>
      </c>
      <c r="Y35" s="41" t="s">
        <v>99</v>
      </c>
      <c r="Z35" s="3">
        <f t="shared" si="34"/>
        <v>0</v>
      </c>
      <c r="AA35" s="3">
        <f t="shared" si="35"/>
        <v>0</v>
      </c>
      <c r="AB35" s="3">
        <f t="shared" si="36"/>
        <v>0</v>
      </c>
      <c r="AD35" s="49">
        <v>21</v>
      </c>
      <c r="AE35" s="49">
        <f>G35*0</f>
        <v>0</v>
      </c>
      <c r="AF35" s="49">
        <f>G35*(1-0)</f>
        <v>0</v>
      </c>
      <c r="AG35" s="46" t="s">
        <v>11</v>
      </c>
      <c r="AM35" s="49">
        <f t="shared" si="37"/>
        <v>0</v>
      </c>
      <c r="AN35" s="49">
        <f t="shared" si="38"/>
        <v>0</v>
      </c>
      <c r="AO35" s="50" t="s">
        <v>392</v>
      </c>
      <c r="AP35" s="50" t="s">
        <v>410</v>
      </c>
      <c r="AQ35" s="41" t="s">
        <v>420</v>
      </c>
      <c r="AS35" s="49">
        <f t="shared" si="39"/>
        <v>0</v>
      </c>
      <c r="AT35" s="49">
        <f t="shared" si="40"/>
        <v>0</v>
      </c>
      <c r="AU35" s="49">
        <v>0</v>
      </c>
      <c r="AV35" s="49">
        <f t="shared" si="41"/>
        <v>0</v>
      </c>
    </row>
    <row r="36" spans="1:48" ht="12.75">
      <c r="A36" s="1" t="s">
        <v>27</v>
      </c>
      <c r="B36" s="1" t="s">
        <v>99</v>
      </c>
      <c r="C36" s="1" t="s">
        <v>126</v>
      </c>
      <c r="D36" s="1" t="s">
        <v>231</v>
      </c>
      <c r="E36" s="1" t="s">
        <v>331</v>
      </c>
      <c r="F36" s="3">
        <f>'01-BOURACÍ PRÁCE'!AR35</f>
        <v>16.49</v>
      </c>
      <c r="G36" s="3">
        <f>'01-BOURACÍ PRÁCE'!AW35</f>
        <v>0</v>
      </c>
      <c r="H36" s="3">
        <f t="shared" si="22"/>
        <v>0</v>
      </c>
      <c r="I36" s="3">
        <f t="shared" si="23"/>
        <v>0</v>
      </c>
      <c r="J36" s="3">
        <f t="shared" si="24"/>
        <v>0</v>
      </c>
      <c r="K36" s="3">
        <v>0</v>
      </c>
      <c r="L36" s="3">
        <f t="shared" si="25"/>
        <v>0</v>
      </c>
      <c r="M36" s="46" t="s">
        <v>380</v>
      </c>
      <c r="P36" s="49">
        <f t="shared" si="26"/>
        <v>0</v>
      </c>
      <c r="R36" s="49">
        <f t="shared" si="27"/>
        <v>0</v>
      </c>
      <c r="S36" s="49">
        <f t="shared" si="28"/>
        <v>0</v>
      </c>
      <c r="T36" s="49">
        <f t="shared" si="29"/>
        <v>0</v>
      </c>
      <c r="U36" s="49">
        <f t="shared" si="30"/>
        <v>0</v>
      </c>
      <c r="V36" s="49">
        <f t="shared" si="31"/>
        <v>0</v>
      </c>
      <c r="W36" s="49">
        <f t="shared" si="32"/>
        <v>0</v>
      </c>
      <c r="X36" s="49">
        <f t="shared" si="33"/>
        <v>0</v>
      </c>
      <c r="Y36" s="41" t="s">
        <v>99</v>
      </c>
      <c r="Z36" s="3">
        <f t="shared" si="34"/>
        <v>0</v>
      </c>
      <c r="AA36" s="3">
        <f t="shared" si="35"/>
        <v>0</v>
      </c>
      <c r="AB36" s="3">
        <f t="shared" si="36"/>
        <v>0</v>
      </c>
      <c r="AD36" s="49">
        <v>21</v>
      </c>
      <c r="AE36" s="49">
        <f>G36*0</f>
        <v>0</v>
      </c>
      <c r="AF36" s="49">
        <f>G36*(1-0)</f>
        <v>0</v>
      </c>
      <c r="AG36" s="46" t="s">
        <v>11</v>
      </c>
      <c r="AM36" s="49">
        <f t="shared" si="37"/>
        <v>0</v>
      </c>
      <c r="AN36" s="49">
        <f t="shared" si="38"/>
        <v>0</v>
      </c>
      <c r="AO36" s="50" t="s">
        <v>392</v>
      </c>
      <c r="AP36" s="50" t="s">
        <v>410</v>
      </c>
      <c r="AQ36" s="41" t="s">
        <v>420</v>
      </c>
      <c r="AS36" s="49">
        <f t="shared" si="39"/>
        <v>0</v>
      </c>
      <c r="AT36" s="49">
        <f t="shared" si="40"/>
        <v>0</v>
      </c>
      <c r="AU36" s="49">
        <v>0</v>
      </c>
      <c r="AV36" s="49">
        <f t="shared" si="41"/>
        <v>0</v>
      </c>
    </row>
    <row r="37" spans="1:48" ht="12.75">
      <c r="A37" s="1" t="s">
        <v>28</v>
      </c>
      <c r="B37" s="1" t="s">
        <v>99</v>
      </c>
      <c r="C37" s="1" t="s">
        <v>127</v>
      </c>
      <c r="D37" s="1" t="s">
        <v>232</v>
      </c>
      <c r="E37" s="1" t="s">
        <v>331</v>
      </c>
      <c r="F37" s="3">
        <f>'01-BOURACÍ PRÁCE'!AR36</f>
        <v>16.49</v>
      </c>
      <c r="G37" s="3">
        <f>'01-BOURACÍ PRÁCE'!AW36</f>
        <v>0</v>
      </c>
      <c r="H37" s="3">
        <f t="shared" si="22"/>
        <v>0</v>
      </c>
      <c r="I37" s="3">
        <f t="shared" si="23"/>
        <v>0</v>
      </c>
      <c r="J37" s="3">
        <f t="shared" si="24"/>
        <v>0</v>
      </c>
      <c r="K37" s="3">
        <v>0</v>
      </c>
      <c r="L37" s="3">
        <f t="shared" si="25"/>
        <v>0</v>
      </c>
      <c r="M37" s="46" t="s">
        <v>380</v>
      </c>
      <c r="P37" s="49">
        <f t="shared" si="26"/>
        <v>0</v>
      </c>
      <c r="R37" s="49">
        <f t="shared" si="27"/>
        <v>0</v>
      </c>
      <c r="S37" s="49">
        <f t="shared" si="28"/>
        <v>0</v>
      </c>
      <c r="T37" s="49">
        <f t="shared" si="29"/>
        <v>0</v>
      </c>
      <c r="U37" s="49">
        <f t="shared" si="30"/>
        <v>0</v>
      </c>
      <c r="V37" s="49">
        <f t="shared" si="31"/>
        <v>0</v>
      </c>
      <c r="W37" s="49">
        <f t="shared" si="32"/>
        <v>0</v>
      </c>
      <c r="X37" s="49">
        <f t="shared" si="33"/>
        <v>0</v>
      </c>
      <c r="Y37" s="41" t="s">
        <v>99</v>
      </c>
      <c r="Z37" s="3">
        <f t="shared" si="34"/>
        <v>0</v>
      </c>
      <c r="AA37" s="3">
        <f t="shared" si="35"/>
        <v>0</v>
      </c>
      <c r="AB37" s="3">
        <f t="shared" si="36"/>
        <v>0</v>
      </c>
      <c r="AD37" s="49">
        <v>21</v>
      </c>
      <c r="AE37" s="49">
        <f>G37*0</f>
        <v>0</v>
      </c>
      <c r="AF37" s="49">
        <f>G37*(1-0)</f>
        <v>0</v>
      </c>
      <c r="AG37" s="46" t="s">
        <v>11</v>
      </c>
      <c r="AM37" s="49">
        <f t="shared" si="37"/>
        <v>0</v>
      </c>
      <c r="AN37" s="49">
        <f t="shared" si="38"/>
        <v>0</v>
      </c>
      <c r="AO37" s="50" t="s">
        <v>392</v>
      </c>
      <c r="AP37" s="50" t="s">
        <v>410</v>
      </c>
      <c r="AQ37" s="41" t="s">
        <v>420</v>
      </c>
      <c r="AS37" s="49">
        <f t="shared" si="39"/>
        <v>0</v>
      </c>
      <c r="AT37" s="49">
        <f t="shared" si="40"/>
        <v>0</v>
      </c>
      <c r="AU37" s="49">
        <v>0</v>
      </c>
      <c r="AV37" s="49">
        <f t="shared" si="41"/>
        <v>0</v>
      </c>
    </row>
    <row r="38" spans="1:48" ht="12.75">
      <c r="A38" s="1" t="s">
        <v>29</v>
      </c>
      <c r="B38" s="1" t="s">
        <v>99</v>
      </c>
      <c r="C38" s="1" t="s">
        <v>128</v>
      </c>
      <c r="D38" s="1" t="s">
        <v>233</v>
      </c>
      <c r="E38" s="1" t="s">
        <v>331</v>
      </c>
      <c r="F38" s="3">
        <f>'01-BOURACÍ PRÁCE'!AR37</f>
        <v>313.31</v>
      </c>
      <c r="G38" s="3">
        <f>'01-BOURACÍ PRÁCE'!AW37</f>
        <v>0</v>
      </c>
      <c r="H38" s="3">
        <f t="shared" si="22"/>
        <v>0</v>
      </c>
      <c r="I38" s="3">
        <f t="shared" si="23"/>
        <v>0</v>
      </c>
      <c r="J38" s="3">
        <f t="shared" si="24"/>
        <v>0</v>
      </c>
      <c r="K38" s="3">
        <v>0</v>
      </c>
      <c r="L38" s="3">
        <f t="shared" si="25"/>
        <v>0</v>
      </c>
      <c r="M38" s="46" t="s">
        <v>380</v>
      </c>
      <c r="P38" s="49">
        <f t="shared" si="26"/>
        <v>0</v>
      </c>
      <c r="R38" s="49">
        <f t="shared" si="27"/>
        <v>0</v>
      </c>
      <c r="S38" s="49">
        <f t="shared" si="28"/>
        <v>0</v>
      </c>
      <c r="T38" s="49">
        <f t="shared" si="29"/>
        <v>0</v>
      </c>
      <c r="U38" s="49">
        <f t="shared" si="30"/>
        <v>0</v>
      </c>
      <c r="V38" s="49">
        <f t="shared" si="31"/>
        <v>0</v>
      </c>
      <c r="W38" s="49">
        <f t="shared" si="32"/>
        <v>0</v>
      </c>
      <c r="X38" s="49">
        <f t="shared" si="33"/>
        <v>0</v>
      </c>
      <c r="Y38" s="41" t="s">
        <v>99</v>
      </c>
      <c r="Z38" s="3">
        <f t="shared" si="34"/>
        <v>0</v>
      </c>
      <c r="AA38" s="3">
        <f t="shared" si="35"/>
        <v>0</v>
      </c>
      <c r="AB38" s="3">
        <f t="shared" si="36"/>
        <v>0</v>
      </c>
      <c r="AD38" s="49">
        <v>21</v>
      </c>
      <c r="AE38" s="49">
        <f>G38*0</f>
        <v>0</v>
      </c>
      <c r="AF38" s="49">
        <f>G38*(1-0)</f>
        <v>0</v>
      </c>
      <c r="AG38" s="46" t="s">
        <v>11</v>
      </c>
      <c r="AM38" s="49">
        <f t="shared" si="37"/>
        <v>0</v>
      </c>
      <c r="AN38" s="49">
        <f t="shared" si="38"/>
        <v>0</v>
      </c>
      <c r="AO38" s="50" t="s">
        <v>392</v>
      </c>
      <c r="AP38" s="50" t="s">
        <v>410</v>
      </c>
      <c r="AQ38" s="41" t="s">
        <v>420</v>
      </c>
      <c r="AS38" s="49">
        <f t="shared" si="39"/>
        <v>0</v>
      </c>
      <c r="AT38" s="49">
        <f t="shared" si="40"/>
        <v>0</v>
      </c>
      <c r="AU38" s="49">
        <v>0</v>
      </c>
      <c r="AV38" s="49">
        <f t="shared" si="41"/>
        <v>0</v>
      </c>
    </row>
    <row r="39" spans="1:48" ht="12.75">
      <c r="A39" s="1" t="s">
        <v>30</v>
      </c>
      <c r="B39" s="1" t="s">
        <v>99</v>
      </c>
      <c r="C39" s="1" t="s">
        <v>129</v>
      </c>
      <c r="D39" s="1" t="s">
        <v>234</v>
      </c>
      <c r="E39" s="1" t="s">
        <v>331</v>
      </c>
      <c r="F39" s="3">
        <f>'01-BOURACÍ PRÁCE'!AR38</f>
        <v>16.49</v>
      </c>
      <c r="G39" s="3">
        <f>'01-BOURACÍ PRÁCE'!AW38</f>
        <v>0</v>
      </c>
      <c r="H39" s="3">
        <f t="shared" si="22"/>
        <v>0</v>
      </c>
      <c r="I39" s="3">
        <f t="shared" si="23"/>
        <v>0</v>
      </c>
      <c r="J39" s="3">
        <f t="shared" si="24"/>
        <v>0</v>
      </c>
      <c r="K39" s="3">
        <v>0</v>
      </c>
      <c r="L39" s="3">
        <f t="shared" si="25"/>
        <v>0</v>
      </c>
      <c r="M39" s="46" t="s">
        <v>380</v>
      </c>
      <c r="P39" s="49">
        <f t="shared" si="26"/>
        <v>0</v>
      </c>
      <c r="R39" s="49">
        <f t="shared" si="27"/>
        <v>0</v>
      </c>
      <c r="S39" s="49">
        <f t="shared" si="28"/>
        <v>0</v>
      </c>
      <c r="T39" s="49">
        <f t="shared" si="29"/>
        <v>0</v>
      </c>
      <c r="U39" s="49">
        <f t="shared" si="30"/>
        <v>0</v>
      </c>
      <c r="V39" s="49">
        <f t="shared" si="31"/>
        <v>0</v>
      </c>
      <c r="W39" s="49">
        <f t="shared" si="32"/>
        <v>0</v>
      </c>
      <c r="X39" s="49">
        <f t="shared" si="33"/>
        <v>0</v>
      </c>
      <c r="Y39" s="41" t="s">
        <v>99</v>
      </c>
      <c r="Z39" s="3">
        <f t="shared" si="34"/>
        <v>0</v>
      </c>
      <c r="AA39" s="3">
        <f t="shared" si="35"/>
        <v>0</v>
      </c>
      <c r="AB39" s="3">
        <f t="shared" si="36"/>
        <v>0</v>
      </c>
      <c r="AD39" s="49">
        <v>21</v>
      </c>
      <c r="AE39" s="49">
        <f>G39*0</f>
        <v>0</v>
      </c>
      <c r="AF39" s="49">
        <f>G39*(1-0)</f>
        <v>0</v>
      </c>
      <c r="AG39" s="46" t="s">
        <v>11</v>
      </c>
      <c r="AM39" s="49">
        <f t="shared" si="37"/>
        <v>0</v>
      </c>
      <c r="AN39" s="49">
        <f t="shared" si="38"/>
        <v>0</v>
      </c>
      <c r="AO39" s="50" t="s">
        <v>392</v>
      </c>
      <c r="AP39" s="50" t="s">
        <v>410</v>
      </c>
      <c r="AQ39" s="41" t="s">
        <v>420</v>
      </c>
      <c r="AS39" s="49">
        <f t="shared" si="39"/>
        <v>0</v>
      </c>
      <c r="AT39" s="49">
        <f t="shared" si="40"/>
        <v>0</v>
      </c>
      <c r="AU39" s="49">
        <v>0</v>
      </c>
      <c r="AV39" s="49">
        <f t="shared" si="41"/>
        <v>0</v>
      </c>
    </row>
    <row r="40" spans="1:13" ht="12.75">
      <c r="A40" s="25"/>
      <c r="B40" s="32" t="s">
        <v>100</v>
      </c>
      <c r="C40" s="32"/>
      <c r="D40" s="32" t="s">
        <v>235</v>
      </c>
      <c r="E40" s="25" t="s">
        <v>6</v>
      </c>
      <c r="F40" s="25" t="s">
        <v>6</v>
      </c>
      <c r="G40" s="25" t="s">
        <v>6</v>
      </c>
      <c r="H40" s="52" t="e">
        <f>H41+H44+H47+H49+H54+H58+H61+H64+H70+H74+H77+H79+H81</f>
        <v>#REF!</v>
      </c>
      <c r="I40" s="52" t="e">
        <f>I41+I44+I47+I49+I54+I58+I61+I64+I70+I74+I77+I79+I81</f>
        <v>#REF!</v>
      </c>
      <c r="J40" s="52" t="e">
        <f>H40+I40</f>
        <v>#REF!</v>
      </c>
      <c r="K40" s="42"/>
      <c r="L40" s="52" t="e">
        <f>L41+L44+L47+L49+L54+L58+L61+L64+L70+L74+L77+L79+L81</f>
        <v>#REF!</v>
      </c>
      <c r="M40" s="42"/>
    </row>
    <row r="41" spans="1:37" ht="12.75">
      <c r="A41" s="24"/>
      <c r="B41" s="31" t="s">
        <v>100</v>
      </c>
      <c r="C41" s="31" t="s">
        <v>37</v>
      </c>
      <c r="D41" s="31" t="s">
        <v>236</v>
      </c>
      <c r="E41" s="24" t="s">
        <v>6</v>
      </c>
      <c r="F41" s="24" t="s">
        <v>6</v>
      </c>
      <c r="G41" s="24" t="s">
        <v>6</v>
      </c>
      <c r="H41" s="6" t="e">
        <f>SUM(H42:H43)</f>
        <v>#REF!</v>
      </c>
      <c r="I41" s="6" t="e">
        <f>SUM(I42:I43)</f>
        <v>#REF!</v>
      </c>
      <c r="J41" s="6" t="e">
        <f>H41+I41</f>
        <v>#REF!</v>
      </c>
      <c r="K41" s="41"/>
      <c r="L41" s="6" t="e">
        <f>SUM(L42:L43)</f>
        <v>#REF!</v>
      </c>
      <c r="M41" s="41"/>
      <c r="Y41" s="41" t="s">
        <v>100</v>
      </c>
      <c r="AI41" s="6">
        <f>SUM(Z42:Z43)</f>
        <v>0</v>
      </c>
      <c r="AJ41" s="6">
        <f>SUM(AA42:AA43)</f>
        <v>0</v>
      </c>
      <c r="AK41" s="6" t="e">
        <f>SUM(AB42:AB43)</f>
        <v>#REF!</v>
      </c>
    </row>
    <row r="42" spans="1:48" ht="12.75">
      <c r="A42" s="1" t="s">
        <v>31</v>
      </c>
      <c r="B42" s="1" t="s">
        <v>100</v>
      </c>
      <c r="C42" s="1" t="s">
        <v>130</v>
      </c>
      <c r="D42" s="1" t="s">
        <v>237</v>
      </c>
      <c r="E42" s="1" t="s">
        <v>329</v>
      </c>
      <c r="F42" s="3" t="e">
        <f>'01-BOURACÍ PRÁCE'!#REF!</f>
        <v>#REF!</v>
      </c>
      <c r="G42" s="3" t="e">
        <f>'01-BOURACÍ PRÁCE'!#REF!</f>
        <v>#REF!</v>
      </c>
      <c r="H42" s="3" t="e">
        <f>F42*AE42</f>
        <v>#REF!</v>
      </c>
      <c r="I42" s="3" t="e">
        <f>J42-H42</f>
        <v>#REF!</v>
      </c>
      <c r="J42" s="3" t="e">
        <f>F42*G42</f>
        <v>#REF!</v>
      </c>
      <c r="K42" s="3">
        <v>0.02022</v>
      </c>
      <c r="L42" s="3" t="e">
        <f>F42*K42</f>
        <v>#REF!</v>
      </c>
      <c r="M42" s="46" t="s">
        <v>380</v>
      </c>
      <c r="P42" s="49">
        <f>IF(AG42="5",J42,0)</f>
        <v>0</v>
      </c>
      <c r="R42" s="49" t="e">
        <f>IF(AG42="1",H42,0)</f>
        <v>#REF!</v>
      </c>
      <c r="S42" s="49" t="e">
        <f>IF(AG42="1",I42,0)</f>
        <v>#REF!</v>
      </c>
      <c r="T42" s="49">
        <f>IF(AG42="7",H42,0)</f>
        <v>0</v>
      </c>
      <c r="U42" s="49">
        <f>IF(AG42="7",I42,0)</f>
        <v>0</v>
      </c>
      <c r="V42" s="49">
        <f>IF(AG42="2",H42,0)</f>
        <v>0</v>
      </c>
      <c r="W42" s="49">
        <f>IF(AG42="2",I42,0)</f>
        <v>0</v>
      </c>
      <c r="X42" s="49">
        <f>IF(AG42="0",J42,0)</f>
        <v>0</v>
      </c>
      <c r="Y42" s="41" t="s">
        <v>100</v>
      </c>
      <c r="Z42" s="3">
        <f>IF(AD42=0,J42,0)</f>
        <v>0</v>
      </c>
      <c r="AA42" s="3">
        <f>IF(AD42=15,J42,0)</f>
        <v>0</v>
      </c>
      <c r="AB42" s="3" t="e">
        <f>IF(AD42=21,J42,0)</f>
        <v>#REF!</v>
      </c>
      <c r="AD42" s="49">
        <v>21</v>
      </c>
      <c r="AE42" s="49" t="e">
        <f>G42*0.671302876480541</f>
        <v>#REF!</v>
      </c>
      <c r="AF42" s="49" t="e">
        <f>G42*(1-0.671302876480541)</f>
        <v>#REF!</v>
      </c>
      <c r="AG42" s="46" t="s">
        <v>7</v>
      </c>
      <c r="AM42" s="49" t="e">
        <f>F42*AE42</f>
        <v>#REF!</v>
      </c>
      <c r="AN42" s="49" t="e">
        <f>F42*AF42</f>
        <v>#REF!</v>
      </c>
      <c r="AO42" s="50" t="s">
        <v>393</v>
      </c>
      <c r="AP42" s="50" t="s">
        <v>411</v>
      </c>
      <c r="AQ42" s="41" t="s">
        <v>421</v>
      </c>
      <c r="AS42" s="49" t="e">
        <f>AM42+AN42</f>
        <v>#REF!</v>
      </c>
      <c r="AT42" s="49" t="e">
        <f>G42/(100-AU42)*100</f>
        <v>#REF!</v>
      </c>
      <c r="AU42" s="49">
        <v>0</v>
      </c>
      <c r="AV42" s="49" t="e">
        <f>L42</f>
        <v>#REF!</v>
      </c>
    </row>
    <row r="43" spans="1:48" ht="12.75">
      <c r="A43" s="1" t="s">
        <v>32</v>
      </c>
      <c r="B43" s="1" t="s">
        <v>100</v>
      </c>
      <c r="C43" s="1" t="s">
        <v>131</v>
      </c>
      <c r="D43" s="1" t="s">
        <v>238</v>
      </c>
      <c r="E43" s="1" t="s">
        <v>329</v>
      </c>
      <c r="F43" s="3" t="e">
        <f>'01-BOURACÍ PRÁCE'!#REF!</f>
        <v>#REF!</v>
      </c>
      <c r="G43" s="3" t="e">
        <f>'01-BOURACÍ PRÁCE'!#REF!</f>
        <v>#REF!</v>
      </c>
      <c r="H43" s="3" t="e">
        <f>F43*AE43</f>
        <v>#REF!</v>
      </c>
      <c r="I43" s="3" t="e">
        <f>J43-H43</f>
        <v>#REF!</v>
      </c>
      <c r="J43" s="3" t="e">
        <f>F43*G43</f>
        <v>#REF!</v>
      </c>
      <c r="K43" s="3">
        <v>0.03487</v>
      </c>
      <c r="L43" s="3" t="e">
        <f>F43*K43</f>
        <v>#REF!</v>
      </c>
      <c r="M43" s="46" t="s">
        <v>380</v>
      </c>
      <c r="P43" s="49">
        <f>IF(AG43="5",J43,0)</f>
        <v>0</v>
      </c>
      <c r="R43" s="49" t="e">
        <f>IF(AG43="1",H43,0)</f>
        <v>#REF!</v>
      </c>
      <c r="S43" s="49" t="e">
        <f>IF(AG43="1",I43,0)</f>
        <v>#REF!</v>
      </c>
      <c r="T43" s="49">
        <f>IF(AG43="7",H43,0)</f>
        <v>0</v>
      </c>
      <c r="U43" s="49">
        <f>IF(AG43="7",I43,0)</f>
        <v>0</v>
      </c>
      <c r="V43" s="49">
        <f>IF(AG43="2",H43,0)</f>
        <v>0</v>
      </c>
      <c r="W43" s="49">
        <f>IF(AG43="2",I43,0)</f>
        <v>0</v>
      </c>
      <c r="X43" s="49">
        <f>IF(AG43="0",J43,0)</f>
        <v>0</v>
      </c>
      <c r="Y43" s="41" t="s">
        <v>100</v>
      </c>
      <c r="Z43" s="3">
        <f>IF(AD43=0,J43,0)</f>
        <v>0</v>
      </c>
      <c r="AA43" s="3">
        <f>IF(AD43=15,J43,0)</f>
        <v>0</v>
      </c>
      <c r="AB43" s="3" t="e">
        <f>IF(AD43=21,J43,0)</f>
        <v>#REF!</v>
      </c>
      <c r="AD43" s="49">
        <v>21</v>
      </c>
      <c r="AE43" s="49" t="e">
        <f>G43*0.784872646733112</f>
        <v>#REF!</v>
      </c>
      <c r="AF43" s="49" t="e">
        <f>G43*(1-0.784872646733112)</f>
        <v>#REF!</v>
      </c>
      <c r="AG43" s="46" t="s">
        <v>7</v>
      </c>
      <c r="AM43" s="49" t="e">
        <f>F43*AE43</f>
        <v>#REF!</v>
      </c>
      <c r="AN43" s="49" t="e">
        <f>F43*AF43</f>
        <v>#REF!</v>
      </c>
      <c r="AO43" s="50" t="s">
        <v>393</v>
      </c>
      <c r="AP43" s="50" t="s">
        <v>411</v>
      </c>
      <c r="AQ43" s="41" t="s">
        <v>421</v>
      </c>
      <c r="AS43" s="49" t="e">
        <f>AM43+AN43</f>
        <v>#REF!</v>
      </c>
      <c r="AT43" s="49" t="e">
        <f>G43/(100-AU43)*100</f>
        <v>#REF!</v>
      </c>
      <c r="AU43" s="49">
        <v>0</v>
      </c>
      <c r="AV43" s="49" t="e">
        <f>L43</f>
        <v>#REF!</v>
      </c>
    </row>
    <row r="44" spans="1:37" ht="12.75">
      <c r="A44" s="24"/>
      <c r="B44" s="31" t="s">
        <v>100</v>
      </c>
      <c r="C44" s="31" t="s">
        <v>40</v>
      </c>
      <c r="D44" s="31" t="s">
        <v>239</v>
      </c>
      <c r="E44" s="24" t="s">
        <v>6</v>
      </c>
      <c r="F44" s="24" t="s">
        <v>6</v>
      </c>
      <c r="G44" s="24" t="s">
        <v>6</v>
      </c>
      <c r="H44" s="6" t="e">
        <f>SUM(H45:H46)</f>
        <v>#REF!</v>
      </c>
      <c r="I44" s="6" t="e">
        <f>SUM(I45:I46)</f>
        <v>#REF!</v>
      </c>
      <c r="J44" s="6" t="e">
        <f>H44+I44</f>
        <v>#REF!</v>
      </c>
      <c r="K44" s="41"/>
      <c r="L44" s="6" t="e">
        <f>SUM(L45:L46)</f>
        <v>#REF!</v>
      </c>
      <c r="M44" s="41"/>
      <c r="Y44" s="41" t="s">
        <v>100</v>
      </c>
      <c r="AI44" s="6">
        <f>SUM(Z45:Z46)</f>
        <v>0</v>
      </c>
      <c r="AJ44" s="6">
        <f>SUM(AA45:AA46)</f>
        <v>0</v>
      </c>
      <c r="AK44" s="6" t="e">
        <f>SUM(AB45:AB46)</f>
        <v>#REF!</v>
      </c>
    </row>
    <row r="45" spans="1:48" ht="12.75">
      <c r="A45" s="1" t="s">
        <v>33</v>
      </c>
      <c r="B45" s="1" t="s">
        <v>100</v>
      </c>
      <c r="C45" s="1" t="s">
        <v>132</v>
      </c>
      <c r="D45" s="1" t="s">
        <v>240</v>
      </c>
      <c r="E45" s="1" t="s">
        <v>325</v>
      </c>
      <c r="F45" s="3" t="e">
        <f>'01-BOURACÍ PRÁCE'!#REF!</f>
        <v>#REF!</v>
      </c>
      <c r="G45" s="3" t="e">
        <f>'01-BOURACÍ PRÁCE'!#REF!</f>
        <v>#REF!</v>
      </c>
      <c r="H45" s="3" t="e">
        <f>F45*AE45</f>
        <v>#REF!</v>
      </c>
      <c r="I45" s="3" t="e">
        <f>J45-H45</f>
        <v>#REF!</v>
      </c>
      <c r="J45" s="3" t="e">
        <f>F45*G45</f>
        <v>#REF!</v>
      </c>
      <c r="K45" s="3">
        <v>0.07454</v>
      </c>
      <c r="L45" s="3" t="e">
        <f>F45*K45</f>
        <v>#REF!</v>
      </c>
      <c r="M45" s="46" t="s">
        <v>380</v>
      </c>
      <c r="P45" s="49">
        <f>IF(AG45="5",J45,0)</f>
        <v>0</v>
      </c>
      <c r="R45" s="49" t="e">
        <f>IF(AG45="1",H45,0)</f>
        <v>#REF!</v>
      </c>
      <c r="S45" s="49" t="e">
        <f>IF(AG45="1",I45,0)</f>
        <v>#REF!</v>
      </c>
      <c r="T45" s="49">
        <f>IF(AG45="7",H45,0)</f>
        <v>0</v>
      </c>
      <c r="U45" s="49">
        <f>IF(AG45="7",I45,0)</f>
        <v>0</v>
      </c>
      <c r="V45" s="49">
        <f>IF(AG45="2",H45,0)</f>
        <v>0</v>
      </c>
      <c r="W45" s="49">
        <f>IF(AG45="2",I45,0)</f>
        <v>0</v>
      </c>
      <c r="X45" s="49">
        <f>IF(AG45="0",J45,0)</f>
        <v>0</v>
      </c>
      <c r="Y45" s="41" t="s">
        <v>100</v>
      </c>
      <c r="Z45" s="3">
        <f>IF(AD45=0,J45,0)</f>
        <v>0</v>
      </c>
      <c r="AA45" s="3">
        <f>IF(AD45=15,J45,0)</f>
        <v>0</v>
      </c>
      <c r="AB45" s="3" t="e">
        <f>IF(AD45=21,J45,0)</f>
        <v>#REF!</v>
      </c>
      <c r="AD45" s="49">
        <v>21</v>
      </c>
      <c r="AE45" s="49" t="e">
        <f>G45*0.609014858362359</f>
        <v>#REF!</v>
      </c>
      <c r="AF45" s="49" t="e">
        <f>G45*(1-0.609014858362359)</f>
        <v>#REF!</v>
      </c>
      <c r="AG45" s="46" t="s">
        <v>7</v>
      </c>
      <c r="AM45" s="49" t="e">
        <f>F45*AE45</f>
        <v>#REF!</v>
      </c>
      <c r="AN45" s="49" t="e">
        <f>F45*AF45</f>
        <v>#REF!</v>
      </c>
      <c r="AO45" s="50" t="s">
        <v>394</v>
      </c>
      <c r="AP45" s="50" t="s">
        <v>411</v>
      </c>
      <c r="AQ45" s="41" t="s">
        <v>421</v>
      </c>
      <c r="AS45" s="49" t="e">
        <f>AM45+AN45</f>
        <v>#REF!</v>
      </c>
      <c r="AT45" s="49" t="e">
        <f>G45/(100-AU45)*100</f>
        <v>#REF!</v>
      </c>
      <c r="AU45" s="49">
        <v>0</v>
      </c>
      <c r="AV45" s="49" t="e">
        <f>L45</f>
        <v>#REF!</v>
      </c>
    </row>
    <row r="46" spans="1:48" ht="12.75">
      <c r="A46" s="1" t="s">
        <v>34</v>
      </c>
      <c r="B46" s="1" t="s">
        <v>100</v>
      </c>
      <c r="C46" s="1" t="s">
        <v>133</v>
      </c>
      <c r="D46" s="1" t="s">
        <v>241</v>
      </c>
      <c r="E46" s="1" t="s">
        <v>325</v>
      </c>
      <c r="F46" s="3" t="e">
        <f>'01-BOURACÍ PRÁCE'!#REF!</f>
        <v>#REF!</v>
      </c>
      <c r="G46" s="3" t="e">
        <f>'01-BOURACÍ PRÁCE'!#REF!</f>
        <v>#REF!</v>
      </c>
      <c r="H46" s="3" t="e">
        <f>F46*AE46</f>
        <v>#REF!</v>
      </c>
      <c r="I46" s="3" t="e">
        <f>J46-H46</f>
        <v>#REF!</v>
      </c>
      <c r="J46" s="3" t="e">
        <f>F46*G46</f>
        <v>#REF!</v>
      </c>
      <c r="K46" s="3">
        <v>0.11141</v>
      </c>
      <c r="L46" s="3" t="e">
        <f>F46*K46</f>
        <v>#REF!</v>
      </c>
      <c r="M46" s="46" t="s">
        <v>380</v>
      </c>
      <c r="P46" s="49">
        <f>IF(AG46="5",J46,0)</f>
        <v>0</v>
      </c>
      <c r="R46" s="49" t="e">
        <f>IF(AG46="1",H46,0)</f>
        <v>#REF!</v>
      </c>
      <c r="S46" s="49" t="e">
        <f>IF(AG46="1",I46,0)</f>
        <v>#REF!</v>
      </c>
      <c r="T46" s="49">
        <f>IF(AG46="7",H46,0)</f>
        <v>0</v>
      </c>
      <c r="U46" s="49">
        <f>IF(AG46="7",I46,0)</f>
        <v>0</v>
      </c>
      <c r="V46" s="49">
        <f>IF(AG46="2",H46,0)</f>
        <v>0</v>
      </c>
      <c r="W46" s="49">
        <f>IF(AG46="2",I46,0)</f>
        <v>0</v>
      </c>
      <c r="X46" s="49">
        <f>IF(AG46="0",J46,0)</f>
        <v>0</v>
      </c>
      <c r="Y46" s="41" t="s">
        <v>100</v>
      </c>
      <c r="Z46" s="3">
        <f>IF(AD46=0,J46,0)</f>
        <v>0</v>
      </c>
      <c r="AA46" s="3">
        <f>IF(AD46=15,J46,0)</f>
        <v>0</v>
      </c>
      <c r="AB46" s="3" t="e">
        <f>IF(AD46=21,J46,0)</f>
        <v>#REF!</v>
      </c>
      <c r="AD46" s="49">
        <v>21</v>
      </c>
      <c r="AE46" s="49" t="e">
        <f>G46*0.664814305364512</f>
        <v>#REF!</v>
      </c>
      <c r="AF46" s="49" t="e">
        <f>G46*(1-0.664814305364512)</f>
        <v>#REF!</v>
      </c>
      <c r="AG46" s="46" t="s">
        <v>7</v>
      </c>
      <c r="AM46" s="49" t="e">
        <f>F46*AE46</f>
        <v>#REF!</v>
      </c>
      <c r="AN46" s="49" t="e">
        <f>F46*AF46</f>
        <v>#REF!</v>
      </c>
      <c r="AO46" s="50" t="s">
        <v>394</v>
      </c>
      <c r="AP46" s="50" t="s">
        <v>411</v>
      </c>
      <c r="AQ46" s="41" t="s">
        <v>421</v>
      </c>
      <c r="AS46" s="49" t="e">
        <f>AM46+AN46</f>
        <v>#REF!</v>
      </c>
      <c r="AT46" s="49" t="e">
        <f>G46/(100-AU46)*100</f>
        <v>#REF!</v>
      </c>
      <c r="AU46" s="49">
        <v>0</v>
      </c>
      <c r="AV46" s="49" t="e">
        <f>L46</f>
        <v>#REF!</v>
      </c>
    </row>
    <row r="47" spans="1:37" ht="12.75">
      <c r="A47" s="24"/>
      <c r="B47" s="31" t="s">
        <v>100</v>
      </c>
      <c r="C47" s="31" t="s">
        <v>66</v>
      </c>
      <c r="D47" s="31" t="s">
        <v>242</v>
      </c>
      <c r="E47" s="24" t="s">
        <v>6</v>
      </c>
      <c r="F47" s="24" t="s">
        <v>6</v>
      </c>
      <c r="G47" s="24" t="s">
        <v>6</v>
      </c>
      <c r="H47" s="6" t="e">
        <f>SUM(H48:H48)</f>
        <v>#REF!</v>
      </c>
      <c r="I47" s="6" t="e">
        <f>SUM(I48:I48)</f>
        <v>#REF!</v>
      </c>
      <c r="J47" s="6" t="e">
        <f>H47+I47</f>
        <v>#REF!</v>
      </c>
      <c r="K47" s="41"/>
      <c r="L47" s="6" t="e">
        <f>SUM(L48:L48)</f>
        <v>#REF!</v>
      </c>
      <c r="M47" s="41"/>
      <c r="Y47" s="41" t="s">
        <v>100</v>
      </c>
      <c r="AI47" s="6">
        <f>SUM(Z48:Z48)</f>
        <v>0</v>
      </c>
      <c r="AJ47" s="6">
        <f>SUM(AA48:AA48)</f>
        <v>0</v>
      </c>
      <c r="AK47" s="6" t="e">
        <f>SUM(AB48:AB48)</f>
        <v>#REF!</v>
      </c>
    </row>
    <row r="48" spans="1:48" ht="12.75">
      <c r="A48" s="1" t="s">
        <v>35</v>
      </c>
      <c r="B48" s="1" t="s">
        <v>100</v>
      </c>
      <c r="C48" s="1" t="s">
        <v>134</v>
      </c>
      <c r="D48" s="1" t="s">
        <v>243</v>
      </c>
      <c r="E48" s="1" t="s">
        <v>325</v>
      </c>
      <c r="F48" s="3" t="e">
        <f>'01-BOURACÍ PRÁCE'!#REF!</f>
        <v>#REF!</v>
      </c>
      <c r="G48" s="3" t="e">
        <f>'01-BOURACÍ PRÁCE'!#REF!</f>
        <v>#REF!</v>
      </c>
      <c r="H48" s="3" t="e">
        <f>F48*AE48</f>
        <v>#REF!</v>
      </c>
      <c r="I48" s="3" t="e">
        <f>J48-H48</f>
        <v>#REF!</v>
      </c>
      <c r="J48" s="3" t="e">
        <f>F48*G48</f>
        <v>#REF!</v>
      </c>
      <c r="K48" s="3">
        <v>0.00359</v>
      </c>
      <c r="L48" s="3" t="e">
        <f>F48*K48</f>
        <v>#REF!</v>
      </c>
      <c r="M48" s="46" t="s">
        <v>380</v>
      </c>
      <c r="P48" s="49">
        <f>IF(AG48="5",J48,0)</f>
        <v>0</v>
      </c>
      <c r="R48" s="49" t="e">
        <f>IF(AG48="1",H48,0)</f>
        <v>#REF!</v>
      </c>
      <c r="S48" s="49" t="e">
        <f>IF(AG48="1",I48,0)</f>
        <v>#REF!</v>
      </c>
      <c r="T48" s="49">
        <f>IF(AG48="7",H48,0)</f>
        <v>0</v>
      </c>
      <c r="U48" s="49">
        <f>IF(AG48="7",I48,0)</f>
        <v>0</v>
      </c>
      <c r="V48" s="49">
        <f>IF(AG48="2",H48,0)</f>
        <v>0</v>
      </c>
      <c r="W48" s="49">
        <f>IF(AG48="2",I48,0)</f>
        <v>0</v>
      </c>
      <c r="X48" s="49">
        <f>IF(AG48="0",J48,0)</f>
        <v>0</v>
      </c>
      <c r="Y48" s="41" t="s">
        <v>100</v>
      </c>
      <c r="Z48" s="3">
        <f>IF(AD48=0,J48,0)</f>
        <v>0</v>
      </c>
      <c r="AA48" s="3">
        <f>IF(AD48=15,J48,0)</f>
        <v>0</v>
      </c>
      <c r="AB48" s="3" t="e">
        <f>IF(AD48=21,J48,0)</f>
        <v>#REF!</v>
      </c>
      <c r="AD48" s="49">
        <v>21</v>
      </c>
      <c r="AE48" s="49" t="e">
        <f>G48*0.160694444444444</f>
        <v>#REF!</v>
      </c>
      <c r="AF48" s="49" t="e">
        <f>G48*(1-0.160694444444444)</f>
        <v>#REF!</v>
      </c>
      <c r="AG48" s="46" t="s">
        <v>7</v>
      </c>
      <c r="AM48" s="49" t="e">
        <f>F48*AE48</f>
        <v>#REF!</v>
      </c>
      <c r="AN48" s="49" t="e">
        <f>F48*AF48</f>
        <v>#REF!</v>
      </c>
      <c r="AO48" s="50" t="s">
        <v>395</v>
      </c>
      <c r="AP48" s="50" t="s">
        <v>412</v>
      </c>
      <c r="AQ48" s="41" t="s">
        <v>421</v>
      </c>
      <c r="AS48" s="49" t="e">
        <f>AM48+AN48</f>
        <v>#REF!</v>
      </c>
      <c r="AT48" s="49" t="e">
        <f>G48/(100-AU48)*100</f>
        <v>#REF!</v>
      </c>
      <c r="AU48" s="49">
        <v>0</v>
      </c>
      <c r="AV48" s="49" t="e">
        <f>L48</f>
        <v>#REF!</v>
      </c>
    </row>
    <row r="49" spans="1:37" ht="12.75">
      <c r="A49" s="24"/>
      <c r="B49" s="31" t="s">
        <v>100</v>
      </c>
      <c r="C49" s="31" t="s">
        <v>67</v>
      </c>
      <c r="D49" s="31" t="s">
        <v>244</v>
      </c>
      <c r="E49" s="24" t="s">
        <v>6</v>
      </c>
      <c r="F49" s="24" t="s">
        <v>6</v>
      </c>
      <c r="G49" s="24" t="s">
        <v>6</v>
      </c>
      <c r="H49" s="6" t="e">
        <f>SUM(H50:H53)</f>
        <v>#REF!</v>
      </c>
      <c r="I49" s="6" t="e">
        <f>SUM(I50:I53)</f>
        <v>#REF!</v>
      </c>
      <c r="J49" s="6" t="e">
        <f>H49+I49</f>
        <v>#REF!</v>
      </c>
      <c r="K49" s="41"/>
      <c r="L49" s="6" t="e">
        <f>SUM(L50:L53)</f>
        <v>#REF!</v>
      </c>
      <c r="M49" s="41"/>
      <c r="Y49" s="41" t="s">
        <v>100</v>
      </c>
      <c r="AI49" s="6">
        <f>SUM(Z50:Z53)</f>
        <v>0</v>
      </c>
      <c r="AJ49" s="6">
        <f>SUM(AA50:AA53)</f>
        <v>0</v>
      </c>
      <c r="AK49" s="6" t="e">
        <f>SUM(AB50:AB53)</f>
        <v>#REF!</v>
      </c>
    </row>
    <row r="50" spans="1:48" ht="12.75">
      <c r="A50" s="1" t="s">
        <v>36</v>
      </c>
      <c r="B50" s="1" t="s">
        <v>100</v>
      </c>
      <c r="C50" s="1" t="s">
        <v>135</v>
      </c>
      <c r="D50" s="1" t="s">
        <v>245</v>
      </c>
      <c r="E50" s="1" t="s">
        <v>325</v>
      </c>
      <c r="F50" s="3" t="e">
        <f>'01-BOURACÍ PRÁCE'!#REF!</f>
        <v>#REF!</v>
      </c>
      <c r="G50" s="3" t="e">
        <f>'01-BOURACÍ PRÁCE'!#REF!</f>
        <v>#REF!</v>
      </c>
      <c r="H50" s="3" t="e">
        <f>F50*AE50</f>
        <v>#REF!</v>
      </c>
      <c r="I50" s="3" t="e">
        <f>J50-H50</f>
        <v>#REF!</v>
      </c>
      <c r="J50" s="3" t="e">
        <f>F50*G50</f>
        <v>#REF!</v>
      </c>
      <c r="K50" s="3">
        <v>0.00446</v>
      </c>
      <c r="L50" s="3" t="e">
        <f>F50*K50</f>
        <v>#REF!</v>
      </c>
      <c r="M50" s="46" t="s">
        <v>380</v>
      </c>
      <c r="P50" s="49">
        <f>IF(AG50="5",J50,0)</f>
        <v>0</v>
      </c>
      <c r="R50" s="49" t="e">
        <f>IF(AG50="1",H50,0)</f>
        <v>#REF!</v>
      </c>
      <c r="S50" s="49" t="e">
        <f>IF(AG50="1",I50,0)</f>
        <v>#REF!</v>
      </c>
      <c r="T50" s="49">
        <f>IF(AG50="7",H50,0)</f>
        <v>0</v>
      </c>
      <c r="U50" s="49">
        <f>IF(AG50="7",I50,0)</f>
        <v>0</v>
      </c>
      <c r="V50" s="49">
        <f>IF(AG50="2",H50,0)</f>
        <v>0</v>
      </c>
      <c r="W50" s="49">
        <f>IF(AG50="2",I50,0)</f>
        <v>0</v>
      </c>
      <c r="X50" s="49">
        <f>IF(AG50="0",J50,0)</f>
        <v>0</v>
      </c>
      <c r="Y50" s="41" t="s">
        <v>100</v>
      </c>
      <c r="Z50" s="3">
        <f>IF(AD50=0,J50,0)</f>
        <v>0</v>
      </c>
      <c r="AA50" s="3">
        <f>IF(AD50=15,J50,0)</f>
        <v>0</v>
      </c>
      <c r="AB50" s="3" t="e">
        <f>IF(AD50=21,J50,0)</f>
        <v>#REF!</v>
      </c>
      <c r="AD50" s="49">
        <v>21</v>
      </c>
      <c r="AE50" s="49" t="e">
        <f>G50*0.132521739130435</f>
        <v>#REF!</v>
      </c>
      <c r="AF50" s="49" t="e">
        <f>G50*(1-0.132521739130435)</f>
        <v>#REF!</v>
      </c>
      <c r="AG50" s="46" t="s">
        <v>7</v>
      </c>
      <c r="AM50" s="49" t="e">
        <f>F50*AE50</f>
        <v>#REF!</v>
      </c>
      <c r="AN50" s="49" t="e">
        <f>F50*AF50</f>
        <v>#REF!</v>
      </c>
      <c r="AO50" s="50" t="s">
        <v>396</v>
      </c>
      <c r="AP50" s="50" t="s">
        <v>412</v>
      </c>
      <c r="AQ50" s="41" t="s">
        <v>421</v>
      </c>
      <c r="AS50" s="49" t="e">
        <f>AM50+AN50</f>
        <v>#REF!</v>
      </c>
      <c r="AT50" s="49" t="e">
        <f>G50/(100-AU50)*100</f>
        <v>#REF!</v>
      </c>
      <c r="AU50" s="49">
        <v>0</v>
      </c>
      <c r="AV50" s="49" t="e">
        <f>L50</f>
        <v>#REF!</v>
      </c>
    </row>
    <row r="51" spans="1:48" ht="12.75">
      <c r="A51" s="1" t="s">
        <v>37</v>
      </c>
      <c r="B51" s="1" t="s">
        <v>100</v>
      </c>
      <c r="C51" s="1" t="s">
        <v>136</v>
      </c>
      <c r="D51" s="1" t="s">
        <v>246</v>
      </c>
      <c r="E51" s="1" t="s">
        <v>325</v>
      </c>
      <c r="F51" s="3" t="e">
        <f>'01-BOURACÍ PRÁCE'!#REF!</f>
        <v>#REF!</v>
      </c>
      <c r="G51" s="3" t="e">
        <f>'01-BOURACÍ PRÁCE'!#REF!</f>
        <v>#REF!</v>
      </c>
      <c r="H51" s="3" t="e">
        <f>F51*AE51</f>
        <v>#REF!</v>
      </c>
      <c r="I51" s="3" t="e">
        <f>J51-H51</f>
        <v>#REF!</v>
      </c>
      <c r="J51" s="3" t="e">
        <f>F51*G51</f>
        <v>#REF!</v>
      </c>
      <c r="K51" s="3">
        <v>0</v>
      </c>
      <c r="L51" s="3" t="e">
        <f>F51*K51</f>
        <v>#REF!</v>
      </c>
      <c r="M51" s="46" t="s">
        <v>380</v>
      </c>
      <c r="P51" s="49">
        <f>IF(AG51="5",J51,0)</f>
        <v>0</v>
      </c>
      <c r="R51" s="49" t="e">
        <f>IF(AG51="1",H51,0)</f>
        <v>#REF!</v>
      </c>
      <c r="S51" s="49" t="e">
        <f>IF(AG51="1",I51,0)</f>
        <v>#REF!</v>
      </c>
      <c r="T51" s="49">
        <f>IF(AG51="7",H51,0)</f>
        <v>0</v>
      </c>
      <c r="U51" s="49">
        <f>IF(AG51="7",I51,0)</f>
        <v>0</v>
      </c>
      <c r="V51" s="49">
        <f>IF(AG51="2",H51,0)</f>
        <v>0</v>
      </c>
      <c r="W51" s="49">
        <f>IF(AG51="2",I51,0)</f>
        <v>0</v>
      </c>
      <c r="X51" s="49">
        <f>IF(AG51="0",J51,0)</f>
        <v>0</v>
      </c>
      <c r="Y51" s="41" t="s">
        <v>100</v>
      </c>
      <c r="Z51" s="3">
        <f>IF(AD51=0,J51,0)</f>
        <v>0</v>
      </c>
      <c r="AA51" s="3">
        <f>IF(AD51=15,J51,0)</f>
        <v>0</v>
      </c>
      <c r="AB51" s="3" t="e">
        <f>IF(AD51=21,J51,0)</f>
        <v>#REF!</v>
      </c>
      <c r="AD51" s="49">
        <v>21</v>
      </c>
      <c r="AE51" s="49" t="e">
        <f>G51*0.296875</f>
        <v>#REF!</v>
      </c>
      <c r="AF51" s="49" t="e">
        <f>G51*(1-0.296875)</f>
        <v>#REF!</v>
      </c>
      <c r="AG51" s="46" t="s">
        <v>7</v>
      </c>
      <c r="AM51" s="49" t="e">
        <f>F51*AE51</f>
        <v>#REF!</v>
      </c>
      <c r="AN51" s="49" t="e">
        <f>F51*AF51</f>
        <v>#REF!</v>
      </c>
      <c r="AO51" s="50" t="s">
        <v>396</v>
      </c>
      <c r="AP51" s="50" t="s">
        <v>412</v>
      </c>
      <c r="AQ51" s="41" t="s">
        <v>421</v>
      </c>
      <c r="AS51" s="49" t="e">
        <f>AM51+AN51</f>
        <v>#REF!</v>
      </c>
      <c r="AT51" s="49" t="e">
        <f>G51/(100-AU51)*100</f>
        <v>#REF!</v>
      </c>
      <c r="AU51" s="49">
        <v>0</v>
      </c>
      <c r="AV51" s="49" t="e">
        <f>L51</f>
        <v>#REF!</v>
      </c>
    </row>
    <row r="52" spans="1:48" ht="12.75">
      <c r="A52" s="1" t="s">
        <v>38</v>
      </c>
      <c r="B52" s="1" t="s">
        <v>100</v>
      </c>
      <c r="C52" s="1" t="s">
        <v>137</v>
      </c>
      <c r="D52" s="1" t="s">
        <v>247</v>
      </c>
      <c r="E52" s="1" t="s">
        <v>325</v>
      </c>
      <c r="F52" s="3" t="e">
        <f>'01-BOURACÍ PRÁCE'!#REF!</f>
        <v>#REF!</v>
      </c>
      <c r="G52" s="3" t="e">
        <f>'01-BOURACÍ PRÁCE'!#REF!</f>
        <v>#REF!</v>
      </c>
      <c r="H52" s="3" t="e">
        <f>F52*AE52</f>
        <v>#REF!</v>
      </c>
      <c r="I52" s="3" t="e">
        <f>J52-H52</f>
        <v>#REF!</v>
      </c>
      <c r="J52" s="3" t="e">
        <f>F52*G52</f>
        <v>#REF!</v>
      </c>
      <c r="K52" s="3">
        <v>0.02793</v>
      </c>
      <c r="L52" s="3" t="e">
        <f>F52*K52</f>
        <v>#REF!</v>
      </c>
      <c r="M52" s="46" t="s">
        <v>380</v>
      </c>
      <c r="P52" s="49">
        <f>IF(AG52="5",J52,0)</f>
        <v>0</v>
      </c>
      <c r="R52" s="49" t="e">
        <f>IF(AG52="1",H52,0)</f>
        <v>#REF!</v>
      </c>
      <c r="S52" s="49" t="e">
        <f>IF(AG52="1",I52,0)</f>
        <v>#REF!</v>
      </c>
      <c r="T52" s="49">
        <f>IF(AG52="7",H52,0)</f>
        <v>0</v>
      </c>
      <c r="U52" s="49">
        <f>IF(AG52="7",I52,0)</f>
        <v>0</v>
      </c>
      <c r="V52" s="49">
        <f>IF(AG52="2",H52,0)</f>
        <v>0</v>
      </c>
      <c r="W52" s="49">
        <f>IF(AG52="2",I52,0)</f>
        <v>0</v>
      </c>
      <c r="X52" s="49">
        <f>IF(AG52="0",J52,0)</f>
        <v>0</v>
      </c>
      <c r="Y52" s="41" t="s">
        <v>100</v>
      </c>
      <c r="Z52" s="3">
        <f>IF(AD52=0,J52,0)</f>
        <v>0</v>
      </c>
      <c r="AA52" s="3">
        <f>IF(AD52=15,J52,0)</f>
        <v>0</v>
      </c>
      <c r="AB52" s="3" t="e">
        <f>IF(AD52=21,J52,0)</f>
        <v>#REF!</v>
      </c>
      <c r="AD52" s="49">
        <v>21</v>
      </c>
      <c r="AE52" s="49" t="e">
        <f>G52*0.27158340717314</f>
        <v>#REF!</v>
      </c>
      <c r="AF52" s="49" t="e">
        <f>G52*(1-0.27158340717314)</f>
        <v>#REF!</v>
      </c>
      <c r="AG52" s="46" t="s">
        <v>7</v>
      </c>
      <c r="AM52" s="49" t="e">
        <f>F52*AE52</f>
        <v>#REF!</v>
      </c>
      <c r="AN52" s="49" t="e">
        <f>F52*AF52</f>
        <v>#REF!</v>
      </c>
      <c r="AO52" s="50" t="s">
        <v>396</v>
      </c>
      <c r="AP52" s="50" t="s">
        <v>412</v>
      </c>
      <c r="AQ52" s="41" t="s">
        <v>421</v>
      </c>
      <c r="AS52" s="49" t="e">
        <f>AM52+AN52</f>
        <v>#REF!</v>
      </c>
      <c r="AT52" s="49" t="e">
        <f>G52/(100-AU52)*100</f>
        <v>#REF!</v>
      </c>
      <c r="AU52" s="49">
        <v>0</v>
      </c>
      <c r="AV52" s="49" t="e">
        <f>L52</f>
        <v>#REF!</v>
      </c>
    </row>
    <row r="53" spans="1:48" ht="12.75">
      <c r="A53" s="1" t="s">
        <v>39</v>
      </c>
      <c r="B53" s="1" t="s">
        <v>100</v>
      </c>
      <c r="C53" s="1" t="s">
        <v>138</v>
      </c>
      <c r="D53" s="1" t="s">
        <v>248</v>
      </c>
      <c r="E53" s="1" t="s">
        <v>325</v>
      </c>
      <c r="F53" s="3" t="e">
        <f>'01-BOURACÍ PRÁCE'!#REF!</f>
        <v>#REF!</v>
      </c>
      <c r="G53" s="3" t="e">
        <f>'01-BOURACÍ PRÁCE'!#REF!</f>
        <v>#REF!</v>
      </c>
      <c r="H53" s="3" t="e">
        <f>F53*AE53</f>
        <v>#REF!</v>
      </c>
      <c r="I53" s="3" t="e">
        <f>J53-H53</f>
        <v>#REF!</v>
      </c>
      <c r="J53" s="3" t="e">
        <f>F53*G53</f>
        <v>#REF!</v>
      </c>
      <c r="K53" s="3">
        <v>0.01124</v>
      </c>
      <c r="L53" s="3" t="e">
        <f>F53*K53</f>
        <v>#REF!</v>
      </c>
      <c r="M53" s="46" t="s">
        <v>380</v>
      </c>
      <c r="P53" s="49">
        <f>IF(AG53="5",J53,0)</f>
        <v>0</v>
      </c>
      <c r="R53" s="49" t="e">
        <f>IF(AG53="1",H53,0)</f>
        <v>#REF!</v>
      </c>
      <c r="S53" s="49" t="e">
        <f>IF(AG53="1",I53,0)</f>
        <v>#REF!</v>
      </c>
      <c r="T53" s="49">
        <f>IF(AG53="7",H53,0)</f>
        <v>0</v>
      </c>
      <c r="U53" s="49">
        <f>IF(AG53="7",I53,0)</f>
        <v>0</v>
      </c>
      <c r="V53" s="49">
        <f>IF(AG53="2",H53,0)</f>
        <v>0</v>
      </c>
      <c r="W53" s="49">
        <f>IF(AG53="2",I53,0)</f>
        <v>0</v>
      </c>
      <c r="X53" s="49">
        <f>IF(AG53="0",J53,0)</f>
        <v>0</v>
      </c>
      <c r="Y53" s="41" t="s">
        <v>100</v>
      </c>
      <c r="Z53" s="3">
        <f>IF(AD53=0,J53,0)</f>
        <v>0</v>
      </c>
      <c r="AA53" s="3">
        <f>IF(AD53=15,J53,0)</f>
        <v>0</v>
      </c>
      <c r="AB53" s="3" t="e">
        <f>IF(AD53=21,J53,0)</f>
        <v>#REF!</v>
      </c>
      <c r="AD53" s="49">
        <v>21</v>
      </c>
      <c r="AE53" s="49" t="e">
        <f>G53*0.32457476518833</f>
        <v>#REF!</v>
      </c>
      <c r="AF53" s="49" t="e">
        <f>G53*(1-0.32457476518833)</f>
        <v>#REF!</v>
      </c>
      <c r="AG53" s="46" t="s">
        <v>7</v>
      </c>
      <c r="AM53" s="49" t="e">
        <f>F53*AE53</f>
        <v>#REF!</v>
      </c>
      <c r="AN53" s="49" t="e">
        <f>F53*AF53</f>
        <v>#REF!</v>
      </c>
      <c r="AO53" s="50" t="s">
        <v>396</v>
      </c>
      <c r="AP53" s="50" t="s">
        <v>412</v>
      </c>
      <c r="AQ53" s="41" t="s">
        <v>421</v>
      </c>
      <c r="AS53" s="49" t="e">
        <f>AM53+AN53</f>
        <v>#REF!</v>
      </c>
      <c r="AT53" s="49" t="e">
        <f>G53/(100-AU53)*100</f>
        <v>#REF!</v>
      </c>
      <c r="AU53" s="49">
        <v>0</v>
      </c>
      <c r="AV53" s="49" t="e">
        <f>L53</f>
        <v>#REF!</v>
      </c>
    </row>
    <row r="54" spans="1:37" ht="12.75">
      <c r="A54" s="24"/>
      <c r="B54" s="31" t="s">
        <v>100</v>
      </c>
      <c r="C54" s="31" t="s">
        <v>69</v>
      </c>
      <c r="D54" s="31" t="s">
        <v>249</v>
      </c>
      <c r="E54" s="24" t="s">
        <v>6</v>
      </c>
      <c r="F54" s="24" t="s">
        <v>6</v>
      </c>
      <c r="G54" s="24" t="s">
        <v>6</v>
      </c>
      <c r="H54" s="6" t="e">
        <f>SUM(H55:H57)</f>
        <v>#REF!</v>
      </c>
      <c r="I54" s="6" t="e">
        <f>SUM(I55:I57)</f>
        <v>#REF!</v>
      </c>
      <c r="J54" s="6" t="e">
        <f>H54+I54</f>
        <v>#REF!</v>
      </c>
      <c r="K54" s="41"/>
      <c r="L54" s="6" t="e">
        <f>SUM(L55:L57)</f>
        <v>#REF!</v>
      </c>
      <c r="M54" s="41"/>
      <c r="Y54" s="41" t="s">
        <v>100</v>
      </c>
      <c r="AI54" s="6">
        <f>SUM(Z55:Z57)</f>
        <v>0</v>
      </c>
      <c r="AJ54" s="6">
        <f>SUM(AA55:AA57)</f>
        <v>0</v>
      </c>
      <c r="AK54" s="6" t="e">
        <f>SUM(AB55:AB57)</f>
        <v>#REF!</v>
      </c>
    </row>
    <row r="55" spans="1:48" ht="12.75">
      <c r="A55" s="1" t="s">
        <v>40</v>
      </c>
      <c r="B55" s="1" t="s">
        <v>100</v>
      </c>
      <c r="C55" s="1" t="s">
        <v>139</v>
      </c>
      <c r="D55" s="1" t="s">
        <v>250</v>
      </c>
      <c r="E55" s="1" t="s">
        <v>325</v>
      </c>
      <c r="F55" s="3" t="e">
        <f>'01-BOURACÍ PRÁCE'!#REF!</f>
        <v>#REF!</v>
      </c>
      <c r="G55" s="3" t="e">
        <f>'01-BOURACÍ PRÁCE'!#REF!</f>
        <v>#REF!</v>
      </c>
      <c r="H55" s="3" t="e">
        <f>F55*AE55</f>
        <v>#REF!</v>
      </c>
      <c r="I55" s="3" t="e">
        <f>J55-H55</f>
        <v>#REF!</v>
      </c>
      <c r="J55" s="3" t="e">
        <f>F55*G55</f>
        <v>#REF!</v>
      </c>
      <c r="K55" s="3">
        <v>0.00026</v>
      </c>
      <c r="L55" s="3" t="e">
        <f>F55*K55</f>
        <v>#REF!</v>
      </c>
      <c r="M55" s="46" t="s">
        <v>380</v>
      </c>
      <c r="P55" s="49">
        <f>IF(AG55="5",J55,0)</f>
        <v>0</v>
      </c>
      <c r="R55" s="49" t="e">
        <f>IF(AG55="1",H55,0)</f>
        <v>#REF!</v>
      </c>
      <c r="S55" s="49" t="e">
        <f>IF(AG55="1",I55,0)</f>
        <v>#REF!</v>
      </c>
      <c r="T55" s="49">
        <f>IF(AG55="7",H55,0)</f>
        <v>0</v>
      </c>
      <c r="U55" s="49">
        <f>IF(AG55="7",I55,0)</f>
        <v>0</v>
      </c>
      <c r="V55" s="49">
        <f>IF(AG55="2",H55,0)</f>
        <v>0</v>
      </c>
      <c r="W55" s="49">
        <f>IF(AG55="2",I55,0)</f>
        <v>0</v>
      </c>
      <c r="X55" s="49">
        <f>IF(AG55="0",J55,0)</f>
        <v>0</v>
      </c>
      <c r="Y55" s="41" t="s">
        <v>100</v>
      </c>
      <c r="Z55" s="3">
        <f>IF(AD55=0,J55,0)</f>
        <v>0</v>
      </c>
      <c r="AA55" s="3">
        <f>IF(AD55=15,J55,0)</f>
        <v>0</v>
      </c>
      <c r="AB55" s="3" t="e">
        <f>IF(AD55=21,J55,0)</f>
        <v>#REF!</v>
      </c>
      <c r="AD55" s="49">
        <v>21</v>
      </c>
      <c r="AE55" s="49" t="e">
        <f>G55*0.475235211626721</f>
        <v>#REF!</v>
      </c>
      <c r="AF55" s="49" t="e">
        <f>G55*(1-0.475235211626721)</f>
        <v>#REF!</v>
      </c>
      <c r="AG55" s="46" t="s">
        <v>7</v>
      </c>
      <c r="AM55" s="49" t="e">
        <f>F55*AE55</f>
        <v>#REF!</v>
      </c>
      <c r="AN55" s="49" t="e">
        <f>F55*AF55</f>
        <v>#REF!</v>
      </c>
      <c r="AO55" s="50" t="s">
        <v>397</v>
      </c>
      <c r="AP55" s="50" t="s">
        <v>412</v>
      </c>
      <c r="AQ55" s="41" t="s">
        <v>421</v>
      </c>
      <c r="AS55" s="49" t="e">
        <f>AM55+AN55</f>
        <v>#REF!</v>
      </c>
      <c r="AT55" s="49" t="e">
        <f>G55/(100-AU55)*100</f>
        <v>#REF!</v>
      </c>
      <c r="AU55" s="49">
        <v>0</v>
      </c>
      <c r="AV55" s="49" t="e">
        <f>L55</f>
        <v>#REF!</v>
      </c>
    </row>
    <row r="56" spans="1:48" ht="12.75">
      <c r="A56" s="1" t="s">
        <v>41</v>
      </c>
      <c r="B56" s="1" t="s">
        <v>100</v>
      </c>
      <c r="C56" s="1" t="s">
        <v>140</v>
      </c>
      <c r="D56" s="1" t="s">
        <v>251</v>
      </c>
      <c r="E56" s="1" t="s">
        <v>325</v>
      </c>
      <c r="F56" s="3" t="e">
        <f>'01-BOURACÍ PRÁCE'!#REF!</f>
        <v>#REF!</v>
      </c>
      <c r="G56" s="3" t="e">
        <f>'01-BOURACÍ PRÁCE'!#REF!</f>
        <v>#REF!</v>
      </c>
      <c r="H56" s="3" t="e">
        <f>F56*AE56</f>
        <v>#REF!</v>
      </c>
      <c r="I56" s="3" t="e">
        <f>J56-H56</f>
        <v>#REF!</v>
      </c>
      <c r="J56" s="3" t="e">
        <f>F56*G56</f>
        <v>#REF!</v>
      </c>
      <c r="K56" s="3">
        <v>0.0473</v>
      </c>
      <c r="L56" s="3" t="e">
        <f>F56*K56</f>
        <v>#REF!</v>
      </c>
      <c r="M56" s="46" t="s">
        <v>380</v>
      </c>
      <c r="P56" s="49">
        <f>IF(AG56="5",J56,0)</f>
        <v>0</v>
      </c>
      <c r="R56" s="49" t="e">
        <f>IF(AG56="1",H56,0)</f>
        <v>#REF!</v>
      </c>
      <c r="S56" s="49" t="e">
        <f>IF(AG56="1",I56,0)</f>
        <v>#REF!</v>
      </c>
      <c r="T56" s="49">
        <f>IF(AG56="7",H56,0)</f>
        <v>0</v>
      </c>
      <c r="U56" s="49">
        <f>IF(AG56="7",I56,0)</f>
        <v>0</v>
      </c>
      <c r="V56" s="49">
        <f>IF(AG56="2",H56,0)</f>
        <v>0</v>
      </c>
      <c r="W56" s="49">
        <f>IF(AG56="2",I56,0)</f>
        <v>0</v>
      </c>
      <c r="X56" s="49">
        <f>IF(AG56="0",J56,0)</f>
        <v>0</v>
      </c>
      <c r="Y56" s="41" t="s">
        <v>100</v>
      </c>
      <c r="Z56" s="3">
        <f>IF(AD56=0,J56,0)</f>
        <v>0</v>
      </c>
      <c r="AA56" s="3">
        <f>IF(AD56=15,J56,0)</f>
        <v>0</v>
      </c>
      <c r="AB56" s="3" t="e">
        <f>IF(AD56=21,J56,0)</f>
        <v>#REF!</v>
      </c>
      <c r="AD56" s="49">
        <v>21</v>
      </c>
      <c r="AE56" s="49" t="e">
        <f>G56*0.654914700981882</f>
        <v>#REF!</v>
      </c>
      <c r="AF56" s="49" t="e">
        <f>G56*(1-0.654914700981882)</f>
        <v>#REF!</v>
      </c>
      <c r="AG56" s="46" t="s">
        <v>7</v>
      </c>
      <c r="AM56" s="49" t="e">
        <f>F56*AE56</f>
        <v>#REF!</v>
      </c>
      <c r="AN56" s="49" t="e">
        <f>F56*AF56</f>
        <v>#REF!</v>
      </c>
      <c r="AO56" s="50" t="s">
        <v>397</v>
      </c>
      <c r="AP56" s="50" t="s">
        <v>412</v>
      </c>
      <c r="AQ56" s="41" t="s">
        <v>421</v>
      </c>
      <c r="AS56" s="49" t="e">
        <f>AM56+AN56</f>
        <v>#REF!</v>
      </c>
      <c r="AT56" s="49" t="e">
        <f>G56/(100-AU56)*100</f>
        <v>#REF!</v>
      </c>
      <c r="AU56" s="49">
        <v>0</v>
      </c>
      <c r="AV56" s="49" t="e">
        <f>L56</f>
        <v>#REF!</v>
      </c>
    </row>
    <row r="57" spans="1:48" ht="12.75">
      <c r="A57" s="1" t="s">
        <v>42</v>
      </c>
      <c r="B57" s="1" t="s">
        <v>100</v>
      </c>
      <c r="C57" s="1" t="s">
        <v>141</v>
      </c>
      <c r="D57" s="1" t="s">
        <v>252</v>
      </c>
      <c r="E57" s="1" t="s">
        <v>330</v>
      </c>
      <c r="F57" s="3" t="e">
        <f>'01-BOURACÍ PRÁCE'!#REF!</f>
        <v>#REF!</v>
      </c>
      <c r="G57" s="3" t="e">
        <f>'01-BOURACÍ PRÁCE'!#REF!</f>
        <v>#REF!</v>
      </c>
      <c r="H57" s="3" t="e">
        <f>F57*AE57</f>
        <v>#REF!</v>
      </c>
      <c r="I57" s="3" t="e">
        <f>J57-H57</f>
        <v>#REF!</v>
      </c>
      <c r="J57" s="3" t="e">
        <f>F57*G57</f>
        <v>#REF!</v>
      </c>
      <c r="K57" s="3">
        <v>2.5</v>
      </c>
      <c r="L57" s="3" t="e">
        <f>F57*K57</f>
        <v>#REF!</v>
      </c>
      <c r="M57" s="46" t="s">
        <v>380</v>
      </c>
      <c r="P57" s="49">
        <f>IF(AG57="5",J57,0)</f>
        <v>0</v>
      </c>
      <c r="R57" s="49" t="e">
        <f>IF(AG57="1",H57,0)</f>
        <v>#REF!</v>
      </c>
      <c r="S57" s="49" t="e">
        <f>IF(AG57="1",I57,0)</f>
        <v>#REF!</v>
      </c>
      <c r="T57" s="49">
        <f>IF(AG57="7",H57,0)</f>
        <v>0</v>
      </c>
      <c r="U57" s="49">
        <f>IF(AG57="7",I57,0)</f>
        <v>0</v>
      </c>
      <c r="V57" s="49">
        <f>IF(AG57="2",H57,0)</f>
        <v>0</v>
      </c>
      <c r="W57" s="49">
        <f>IF(AG57="2",I57,0)</f>
        <v>0</v>
      </c>
      <c r="X57" s="49">
        <f>IF(AG57="0",J57,0)</f>
        <v>0</v>
      </c>
      <c r="Y57" s="41" t="s">
        <v>100</v>
      </c>
      <c r="Z57" s="3">
        <f>IF(AD57=0,J57,0)</f>
        <v>0</v>
      </c>
      <c r="AA57" s="3">
        <f>IF(AD57=15,J57,0)</f>
        <v>0</v>
      </c>
      <c r="AB57" s="3" t="e">
        <f>IF(AD57=21,J57,0)</f>
        <v>#REF!</v>
      </c>
      <c r="AD57" s="49">
        <v>21</v>
      </c>
      <c r="AE57" s="49" t="e">
        <f>G57*0.520879411764706</f>
        <v>#REF!</v>
      </c>
      <c r="AF57" s="49" t="e">
        <f>G57*(1-0.520879411764706)</f>
        <v>#REF!</v>
      </c>
      <c r="AG57" s="46" t="s">
        <v>7</v>
      </c>
      <c r="AM57" s="49" t="e">
        <f>F57*AE57</f>
        <v>#REF!</v>
      </c>
      <c r="AN57" s="49" t="e">
        <f>F57*AF57</f>
        <v>#REF!</v>
      </c>
      <c r="AO57" s="50" t="s">
        <v>397</v>
      </c>
      <c r="AP57" s="50" t="s">
        <v>412</v>
      </c>
      <c r="AQ57" s="41" t="s">
        <v>421</v>
      </c>
      <c r="AS57" s="49" t="e">
        <f>AM57+AN57</f>
        <v>#REF!</v>
      </c>
      <c r="AT57" s="49" t="e">
        <f>G57/(100-AU57)*100</f>
        <v>#REF!</v>
      </c>
      <c r="AU57" s="49">
        <v>0</v>
      </c>
      <c r="AV57" s="49" t="e">
        <f>L57</f>
        <v>#REF!</v>
      </c>
    </row>
    <row r="58" spans="1:37" ht="12.75">
      <c r="A58" s="24"/>
      <c r="B58" s="31" t="s">
        <v>100</v>
      </c>
      <c r="C58" s="31" t="s">
        <v>70</v>
      </c>
      <c r="D58" s="31" t="s">
        <v>253</v>
      </c>
      <c r="E58" s="24" t="s">
        <v>6</v>
      </c>
      <c r="F58" s="24" t="s">
        <v>6</v>
      </c>
      <c r="G58" s="24" t="s">
        <v>6</v>
      </c>
      <c r="H58" s="6" t="e">
        <f>SUM(H59:H60)</f>
        <v>#REF!</v>
      </c>
      <c r="I58" s="6" t="e">
        <f>SUM(I59:I60)</f>
        <v>#REF!</v>
      </c>
      <c r="J58" s="6" t="e">
        <f>H58+I58</f>
        <v>#REF!</v>
      </c>
      <c r="K58" s="41"/>
      <c r="L58" s="6" t="e">
        <f>SUM(L59:L60)</f>
        <v>#REF!</v>
      </c>
      <c r="M58" s="41"/>
      <c r="Y58" s="41" t="s">
        <v>100</v>
      </c>
      <c r="AI58" s="6">
        <f>SUM(Z59:Z60)</f>
        <v>0</v>
      </c>
      <c r="AJ58" s="6">
        <f>SUM(AA59:AA60)</f>
        <v>0</v>
      </c>
      <c r="AK58" s="6" t="e">
        <f>SUM(AB59:AB60)</f>
        <v>#REF!</v>
      </c>
    </row>
    <row r="59" spans="1:48" ht="12.75">
      <c r="A59" s="1" t="s">
        <v>43</v>
      </c>
      <c r="B59" s="1" t="s">
        <v>100</v>
      </c>
      <c r="C59" s="1" t="s">
        <v>142</v>
      </c>
      <c r="D59" s="1" t="s">
        <v>254</v>
      </c>
      <c r="E59" s="1" t="s">
        <v>329</v>
      </c>
      <c r="F59" s="3" t="e">
        <f>'01-BOURACÍ PRÁCE'!#REF!</f>
        <v>#REF!</v>
      </c>
      <c r="G59" s="3" t="e">
        <f>'01-BOURACÍ PRÁCE'!#REF!</f>
        <v>#REF!</v>
      </c>
      <c r="H59" s="3" t="e">
        <f>F59*AE59</f>
        <v>#REF!</v>
      </c>
      <c r="I59" s="3" t="e">
        <f>J59-H59</f>
        <v>#REF!</v>
      </c>
      <c r="J59" s="3" t="e">
        <f>F59*G59</f>
        <v>#REF!</v>
      </c>
      <c r="K59" s="3">
        <v>0.03055</v>
      </c>
      <c r="L59" s="3" t="e">
        <f>F59*K59</f>
        <v>#REF!</v>
      </c>
      <c r="M59" s="46" t="s">
        <v>380</v>
      </c>
      <c r="P59" s="49">
        <f>IF(AG59="5",J59,0)</f>
        <v>0</v>
      </c>
      <c r="R59" s="49" t="e">
        <f>IF(AG59="1",H59,0)</f>
        <v>#REF!</v>
      </c>
      <c r="S59" s="49" t="e">
        <f>IF(AG59="1",I59,0)</f>
        <v>#REF!</v>
      </c>
      <c r="T59" s="49">
        <f>IF(AG59="7",H59,0)</f>
        <v>0</v>
      </c>
      <c r="U59" s="49">
        <f>IF(AG59="7",I59,0)</f>
        <v>0</v>
      </c>
      <c r="V59" s="49">
        <f>IF(AG59="2",H59,0)</f>
        <v>0</v>
      </c>
      <c r="W59" s="49">
        <f>IF(AG59="2",I59,0)</f>
        <v>0</v>
      </c>
      <c r="X59" s="49">
        <f>IF(AG59="0",J59,0)</f>
        <v>0</v>
      </c>
      <c r="Y59" s="41" t="s">
        <v>100</v>
      </c>
      <c r="Z59" s="3">
        <f>IF(AD59=0,J59,0)</f>
        <v>0</v>
      </c>
      <c r="AA59" s="3">
        <f>IF(AD59=15,J59,0)</f>
        <v>0</v>
      </c>
      <c r="AB59" s="3" t="e">
        <f>IF(AD59=21,J59,0)</f>
        <v>#REF!</v>
      </c>
      <c r="AD59" s="49">
        <v>21</v>
      </c>
      <c r="AE59" s="49" t="e">
        <f>G59*0.507271523178808</f>
        <v>#REF!</v>
      </c>
      <c r="AF59" s="49" t="e">
        <f>G59*(1-0.507271523178808)</f>
        <v>#REF!</v>
      </c>
      <c r="AG59" s="46" t="s">
        <v>7</v>
      </c>
      <c r="AM59" s="49" t="e">
        <f>F59*AE59</f>
        <v>#REF!</v>
      </c>
      <c r="AN59" s="49" t="e">
        <f>F59*AF59</f>
        <v>#REF!</v>
      </c>
      <c r="AO59" s="50" t="s">
        <v>398</v>
      </c>
      <c r="AP59" s="50" t="s">
        <v>412</v>
      </c>
      <c r="AQ59" s="41" t="s">
        <v>421</v>
      </c>
      <c r="AS59" s="49" t="e">
        <f>AM59+AN59</f>
        <v>#REF!</v>
      </c>
      <c r="AT59" s="49" t="e">
        <f>G59/(100-AU59)*100</f>
        <v>#REF!</v>
      </c>
      <c r="AU59" s="49">
        <v>0</v>
      </c>
      <c r="AV59" s="49" t="e">
        <f>L59</f>
        <v>#REF!</v>
      </c>
    </row>
    <row r="60" spans="1:48" ht="12.75">
      <c r="A60" s="1" t="s">
        <v>44</v>
      </c>
      <c r="B60" s="1" t="s">
        <v>100</v>
      </c>
      <c r="C60" s="1" t="s">
        <v>143</v>
      </c>
      <c r="D60" s="1" t="s">
        <v>255</v>
      </c>
      <c r="E60" s="1"/>
      <c r="F60" s="3" t="e">
        <f>'01-BOURACÍ PRÁCE'!#REF!</f>
        <v>#REF!</v>
      </c>
      <c r="G60" s="3" t="e">
        <f>'01-BOURACÍ PRÁCE'!#REF!</f>
        <v>#REF!</v>
      </c>
      <c r="H60" s="3" t="e">
        <f>F60*AE60</f>
        <v>#REF!</v>
      </c>
      <c r="I60" s="3" t="e">
        <f>J60-H60</f>
        <v>#REF!</v>
      </c>
      <c r="J60" s="3" t="e">
        <f>F60*G60</f>
        <v>#REF!</v>
      </c>
      <c r="K60" s="3">
        <v>0</v>
      </c>
      <c r="L60" s="3" t="e">
        <f>F60*K60</f>
        <v>#REF!</v>
      </c>
      <c r="M60" s="46" t="s">
        <v>380</v>
      </c>
      <c r="P60" s="49">
        <f>IF(AG60="5",J60,0)</f>
        <v>0</v>
      </c>
      <c r="R60" s="49" t="e">
        <f>IF(AG60="1",H60,0)</f>
        <v>#REF!</v>
      </c>
      <c r="S60" s="49" t="e">
        <f>IF(AG60="1",I60,0)</f>
        <v>#REF!</v>
      </c>
      <c r="T60" s="49">
        <f>IF(AG60="7",H60,0)</f>
        <v>0</v>
      </c>
      <c r="U60" s="49">
        <f>IF(AG60="7",I60,0)</f>
        <v>0</v>
      </c>
      <c r="V60" s="49">
        <f>IF(AG60="2",H60,0)</f>
        <v>0</v>
      </c>
      <c r="W60" s="49">
        <f>IF(AG60="2",I60,0)</f>
        <v>0</v>
      </c>
      <c r="X60" s="49">
        <f>IF(AG60="0",J60,0)</f>
        <v>0</v>
      </c>
      <c r="Y60" s="41" t="s">
        <v>100</v>
      </c>
      <c r="Z60" s="3">
        <f>IF(AD60=0,J60,0)</f>
        <v>0</v>
      </c>
      <c r="AA60" s="3">
        <f>IF(AD60=15,J60,0)</f>
        <v>0</v>
      </c>
      <c r="AB60" s="3" t="e">
        <f>IF(AD60=21,J60,0)</f>
        <v>#REF!</v>
      </c>
      <c r="AD60" s="49">
        <v>21</v>
      </c>
      <c r="AE60" s="49" t="e">
        <f>G60*0.94017094017094</f>
        <v>#REF!</v>
      </c>
      <c r="AF60" s="49" t="e">
        <f>G60*(1-0.94017094017094)</f>
        <v>#REF!</v>
      </c>
      <c r="AG60" s="46" t="s">
        <v>7</v>
      </c>
      <c r="AM60" s="49" t="e">
        <f>F60*AE60</f>
        <v>#REF!</v>
      </c>
      <c r="AN60" s="49" t="e">
        <f>F60*AF60</f>
        <v>#REF!</v>
      </c>
      <c r="AO60" s="50" t="s">
        <v>398</v>
      </c>
      <c r="AP60" s="50" t="s">
        <v>412</v>
      </c>
      <c r="AQ60" s="41" t="s">
        <v>421</v>
      </c>
      <c r="AS60" s="49" t="e">
        <f>AM60+AN60</f>
        <v>#REF!</v>
      </c>
      <c r="AT60" s="49" t="e">
        <f>G60/(100-AU60)*100</f>
        <v>#REF!</v>
      </c>
      <c r="AU60" s="49">
        <v>0</v>
      </c>
      <c r="AV60" s="49" t="e">
        <f>L60</f>
        <v>#REF!</v>
      </c>
    </row>
    <row r="61" spans="1:37" ht="12.75">
      <c r="A61" s="24"/>
      <c r="B61" s="31" t="s">
        <v>100</v>
      </c>
      <c r="C61" s="31" t="s">
        <v>144</v>
      </c>
      <c r="D61" s="31" t="s">
        <v>256</v>
      </c>
      <c r="E61" s="24" t="s">
        <v>6</v>
      </c>
      <c r="F61" s="24" t="s">
        <v>6</v>
      </c>
      <c r="G61" s="24" t="s">
        <v>6</v>
      </c>
      <c r="H61" s="6" t="e">
        <f>SUM(H62:H63)</f>
        <v>#REF!</v>
      </c>
      <c r="I61" s="6" t="e">
        <f>SUM(I62:I63)</f>
        <v>#REF!</v>
      </c>
      <c r="J61" s="6" t="e">
        <f>H61+I61</f>
        <v>#REF!</v>
      </c>
      <c r="K61" s="41"/>
      <c r="L61" s="6" t="e">
        <f>SUM(L62:L63)</f>
        <v>#REF!</v>
      </c>
      <c r="M61" s="41"/>
      <c r="Y61" s="41" t="s">
        <v>100</v>
      </c>
      <c r="AI61" s="6">
        <f>SUM(Z62:Z63)</f>
        <v>0</v>
      </c>
      <c r="AJ61" s="6">
        <f>SUM(AA62:AA63)</f>
        <v>0</v>
      </c>
      <c r="AK61" s="6" t="e">
        <f>SUM(AB62:AB63)</f>
        <v>#REF!</v>
      </c>
    </row>
    <row r="62" spans="1:48" ht="12.75">
      <c r="A62" s="1" t="s">
        <v>45</v>
      </c>
      <c r="B62" s="1" t="s">
        <v>100</v>
      </c>
      <c r="C62" s="1" t="s">
        <v>145</v>
      </c>
      <c r="D62" s="1" t="s">
        <v>257</v>
      </c>
      <c r="E62" s="1" t="s">
        <v>325</v>
      </c>
      <c r="F62" s="3" t="e">
        <f>'01-BOURACÍ PRÁCE'!#REF!</f>
        <v>#REF!</v>
      </c>
      <c r="G62" s="3" t="e">
        <f>'01-BOURACÍ PRÁCE'!#REF!</f>
        <v>#REF!</v>
      </c>
      <c r="H62" s="3" t="e">
        <f>F62*AE62</f>
        <v>#REF!</v>
      </c>
      <c r="I62" s="3" t="e">
        <f>J62-H62</f>
        <v>#REF!</v>
      </c>
      <c r="J62" s="3" t="e">
        <f>F62*G62</f>
        <v>#REF!</v>
      </c>
      <c r="K62" s="3">
        <v>0.0042</v>
      </c>
      <c r="L62" s="3" t="e">
        <f>F62*K62</f>
        <v>#REF!</v>
      </c>
      <c r="M62" s="46" t="s">
        <v>380</v>
      </c>
      <c r="P62" s="49">
        <f>IF(AG62="5",J62,0)</f>
        <v>0</v>
      </c>
      <c r="R62" s="49">
        <f>IF(AG62="1",H62,0)</f>
        <v>0</v>
      </c>
      <c r="S62" s="49">
        <f>IF(AG62="1",I62,0)</f>
        <v>0</v>
      </c>
      <c r="T62" s="49" t="e">
        <f>IF(AG62="7",H62,0)</f>
        <v>#REF!</v>
      </c>
      <c r="U62" s="49" t="e">
        <f>IF(AG62="7",I62,0)</f>
        <v>#REF!</v>
      </c>
      <c r="V62" s="49">
        <f>IF(AG62="2",H62,0)</f>
        <v>0</v>
      </c>
      <c r="W62" s="49">
        <f>IF(AG62="2",I62,0)</f>
        <v>0</v>
      </c>
      <c r="X62" s="49">
        <f>IF(AG62="0",J62,0)</f>
        <v>0</v>
      </c>
      <c r="Y62" s="41" t="s">
        <v>100</v>
      </c>
      <c r="Z62" s="3">
        <f>IF(AD62=0,J62,0)</f>
        <v>0</v>
      </c>
      <c r="AA62" s="3">
        <f>IF(AD62=15,J62,0)</f>
        <v>0</v>
      </c>
      <c r="AB62" s="3" t="e">
        <f>IF(AD62=21,J62,0)</f>
        <v>#REF!</v>
      </c>
      <c r="AD62" s="49">
        <v>21</v>
      </c>
      <c r="AE62" s="49" t="e">
        <f>G62*0.351585365853659</f>
        <v>#REF!</v>
      </c>
      <c r="AF62" s="49" t="e">
        <f>G62*(1-0.351585365853659)</f>
        <v>#REF!</v>
      </c>
      <c r="AG62" s="46" t="s">
        <v>13</v>
      </c>
      <c r="AM62" s="49" t="e">
        <f>F62*AE62</f>
        <v>#REF!</v>
      </c>
      <c r="AN62" s="49" t="e">
        <f>F62*AF62</f>
        <v>#REF!</v>
      </c>
      <c r="AO62" s="50" t="s">
        <v>399</v>
      </c>
      <c r="AP62" s="50" t="s">
        <v>413</v>
      </c>
      <c r="AQ62" s="41" t="s">
        <v>421</v>
      </c>
      <c r="AS62" s="49" t="e">
        <f>AM62+AN62</f>
        <v>#REF!</v>
      </c>
      <c r="AT62" s="49" t="e">
        <f>G62/(100-AU62)*100</f>
        <v>#REF!</v>
      </c>
      <c r="AU62" s="49">
        <v>0</v>
      </c>
      <c r="AV62" s="49" t="e">
        <f>L62</f>
        <v>#REF!</v>
      </c>
    </row>
    <row r="63" spans="1:48" ht="12.75">
      <c r="A63" s="1" t="s">
        <v>46</v>
      </c>
      <c r="B63" s="1" t="s">
        <v>100</v>
      </c>
      <c r="C63" s="1" t="s">
        <v>146</v>
      </c>
      <c r="D63" s="1" t="s">
        <v>258</v>
      </c>
      <c r="E63" s="1" t="s">
        <v>328</v>
      </c>
      <c r="F63" s="3" t="e">
        <f>'01-BOURACÍ PRÁCE'!#REF!</f>
        <v>#REF!</v>
      </c>
      <c r="G63" s="3" t="e">
        <f>'01-BOURACÍ PRÁCE'!#REF!</f>
        <v>#REF!</v>
      </c>
      <c r="H63" s="3" t="e">
        <f>F63*AE63</f>
        <v>#REF!</v>
      </c>
      <c r="I63" s="3" t="e">
        <f>J63-H63</f>
        <v>#REF!</v>
      </c>
      <c r="J63" s="3" t="e">
        <f>F63*G63</f>
        <v>#REF!</v>
      </c>
      <c r="K63" s="3">
        <v>0.00035</v>
      </c>
      <c r="L63" s="3" t="e">
        <f>F63*K63</f>
        <v>#REF!</v>
      </c>
      <c r="M63" s="46" t="s">
        <v>380</v>
      </c>
      <c r="P63" s="49">
        <f>IF(AG63="5",J63,0)</f>
        <v>0</v>
      </c>
      <c r="R63" s="49">
        <f>IF(AG63="1",H63,0)</f>
        <v>0</v>
      </c>
      <c r="S63" s="49">
        <f>IF(AG63="1",I63,0)</f>
        <v>0</v>
      </c>
      <c r="T63" s="49" t="e">
        <f>IF(AG63="7",H63,0)</f>
        <v>#REF!</v>
      </c>
      <c r="U63" s="49" t="e">
        <f>IF(AG63="7",I63,0)</f>
        <v>#REF!</v>
      </c>
      <c r="V63" s="49">
        <f>IF(AG63="2",H63,0)</f>
        <v>0</v>
      </c>
      <c r="W63" s="49">
        <f>IF(AG63="2",I63,0)</f>
        <v>0</v>
      </c>
      <c r="X63" s="49">
        <f>IF(AG63="0",J63,0)</f>
        <v>0</v>
      </c>
      <c r="Y63" s="41" t="s">
        <v>100</v>
      </c>
      <c r="Z63" s="3">
        <f>IF(AD63=0,J63,0)</f>
        <v>0</v>
      </c>
      <c r="AA63" s="3">
        <f>IF(AD63=15,J63,0)</f>
        <v>0</v>
      </c>
      <c r="AB63" s="3" t="e">
        <f>IF(AD63=21,J63,0)</f>
        <v>#REF!</v>
      </c>
      <c r="AD63" s="49">
        <v>21</v>
      </c>
      <c r="AE63" s="49" t="e">
        <f>G63*0.707155880670208</f>
        <v>#REF!</v>
      </c>
      <c r="AF63" s="49" t="e">
        <f>G63*(1-0.707155880670208)</f>
        <v>#REF!</v>
      </c>
      <c r="AG63" s="46" t="s">
        <v>13</v>
      </c>
      <c r="AM63" s="49" t="e">
        <f>F63*AE63</f>
        <v>#REF!</v>
      </c>
      <c r="AN63" s="49" t="e">
        <f>F63*AF63</f>
        <v>#REF!</v>
      </c>
      <c r="AO63" s="50" t="s">
        <v>399</v>
      </c>
      <c r="AP63" s="50" t="s">
        <v>413</v>
      </c>
      <c r="AQ63" s="41" t="s">
        <v>421</v>
      </c>
      <c r="AS63" s="49" t="e">
        <f>AM63+AN63</f>
        <v>#REF!</v>
      </c>
      <c r="AT63" s="49" t="e">
        <f>G63/(100-AU63)*100</f>
        <v>#REF!</v>
      </c>
      <c r="AU63" s="49">
        <v>0</v>
      </c>
      <c r="AV63" s="49" t="e">
        <f>L63</f>
        <v>#REF!</v>
      </c>
    </row>
    <row r="64" spans="1:37" ht="12.75">
      <c r="A64" s="24"/>
      <c r="B64" s="31" t="s">
        <v>100</v>
      </c>
      <c r="C64" s="31" t="s">
        <v>147</v>
      </c>
      <c r="D64" s="31" t="s">
        <v>259</v>
      </c>
      <c r="E64" s="24" t="s">
        <v>6</v>
      </c>
      <c r="F64" s="24" t="s">
        <v>6</v>
      </c>
      <c r="G64" s="24" t="s">
        <v>6</v>
      </c>
      <c r="H64" s="6" t="e">
        <f>SUM(H65:H69)</f>
        <v>#REF!</v>
      </c>
      <c r="I64" s="6" t="e">
        <f>SUM(I65:I69)</f>
        <v>#REF!</v>
      </c>
      <c r="J64" s="6" t="e">
        <f>H64+I64</f>
        <v>#REF!</v>
      </c>
      <c r="K64" s="41"/>
      <c r="L64" s="6" t="e">
        <f>SUM(L65:L69)</f>
        <v>#REF!</v>
      </c>
      <c r="M64" s="41"/>
      <c r="Y64" s="41" t="s">
        <v>100</v>
      </c>
      <c r="AI64" s="6">
        <f>SUM(Z65:Z69)</f>
        <v>0</v>
      </c>
      <c r="AJ64" s="6">
        <f>SUM(AA65:AA69)</f>
        <v>0</v>
      </c>
      <c r="AK64" s="6" t="e">
        <f>SUM(AB65:AB69)</f>
        <v>#REF!</v>
      </c>
    </row>
    <row r="65" spans="1:48" ht="12.75">
      <c r="A65" s="1" t="s">
        <v>47</v>
      </c>
      <c r="B65" s="1" t="s">
        <v>100</v>
      </c>
      <c r="C65" s="1" t="s">
        <v>148</v>
      </c>
      <c r="D65" s="1" t="s">
        <v>260</v>
      </c>
      <c r="E65" s="1" t="s">
        <v>325</v>
      </c>
      <c r="F65" s="3" t="e">
        <f>'01-BOURACÍ PRÁCE'!#REF!</f>
        <v>#REF!</v>
      </c>
      <c r="G65" s="3" t="e">
        <f>'01-BOURACÍ PRÁCE'!#REF!</f>
        <v>#REF!</v>
      </c>
      <c r="H65" s="3" t="e">
        <f>F65*AE65</f>
        <v>#REF!</v>
      </c>
      <c r="I65" s="3" t="e">
        <f>J65-H65</f>
        <v>#REF!</v>
      </c>
      <c r="J65" s="3" t="e">
        <f>F65*G65</f>
        <v>#REF!</v>
      </c>
      <c r="K65" s="3">
        <v>0.00504</v>
      </c>
      <c r="L65" s="3" t="e">
        <f>F65*K65</f>
        <v>#REF!</v>
      </c>
      <c r="M65" s="46" t="s">
        <v>380</v>
      </c>
      <c r="P65" s="49">
        <f>IF(AG65="5",J65,0)</f>
        <v>0</v>
      </c>
      <c r="R65" s="49">
        <f>IF(AG65="1",H65,0)</f>
        <v>0</v>
      </c>
      <c r="S65" s="49">
        <f>IF(AG65="1",I65,0)</f>
        <v>0</v>
      </c>
      <c r="T65" s="49" t="e">
        <f>IF(AG65="7",H65,0)</f>
        <v>#REF!</v>
      </c>
      <c r="U65" s="49" t="e">
        <f>IF(AG65="7",I65,0)</f>
        <v>#REF!</v>
      </c>
      <c r="V65" s="49">
        <f>IF(AG65="2",H65,0)</f>
        <v>0</v>
      </c>
      <c r="W65" s="49">
        <f>IF(AG65="2",I65,0)</f>
        <v>0</v>
      </c>
      <c r="X65" s="49">
        <f>IF(AG65="0",J65,0)</f>
        <v>0</v>
      </c>
      <c r="Y65" s="41" t="s">
        <v>100</v>
      </c>
      <c r="Z65" s="3">
        <f>IF(AD65=0,J65,0)</f>
        <v>0</v>
      </c>
      <c r="AA65" s="3">
        <f>IF(AD65=15,J65,0)</f>
        <v>0</v>
      </c>
      <c r="AB65" s="3" t="e">
        <f>IF(AD65=21,J65,0)</f>
        <v>#REF!</v>
      </c>
      <c r="AD65" s="49">
        <v>21</v>
      </c>
      <c r="AE65" s="49" t="e">
        <f>G65*0.180120472959208</f>
        <v>#REF!</v>
      </c>
      <c r="AF65" s="49" t="e">
        <f>G65*(1-0.180120472959208)</f>
        <v>#REF!</v>
      </c>
      <c r="AG65" s="46" t="s">
        <v>13</v>
      </c>
      <c r="AM65" s="49" t="e">
        <f>F65*AE65</f>
        <v>#REF!</v>
      </c>
      <c r="AN65" s="49" t="e">
        <f>F65*AF65</f>
        <v>#REF!</v>
      </c>
      <c r="AO65" s="50" t="s">
        <v>400</v>
      </c>
      <c r="AP65" s="50" t="s">
        <v>414</v>
      </c>
      <c r="AQ65" s="41" t="s">
        <v>421</v>
      </c>
      <c r="AS65" s="49" t="e">
        <f>AM65+AN65</f>
        <v>#REF!</v>
      </c>
      <c r="AT65" s="49" t="e">
        <f>G65/(100-AU65)*100</f>
        <v>#REF!</v>
      </c>
      <c r="AU65" s="49">
        <v>0</v>
      </c>
      <c r="AV65" s="49" t="e">
        <f>L65</f>
        <v>#REF!</v>
      </c>
    </row>
    <row r="66" spans="1:48" ht="12.75">
      <c r="A66" s="2" t="s">
        <v>48</v>
      </c>
      <c r="B66" s="2" t="s">
        <v>100</v>
      </c>
      <c r="C66" s="2" t="s">
        <v>149</v>
      </c>
      <c r="D66" s="2" t="s">
        <v>261</v>
      </c>
      <c r="E66" s="2" t="s">
        <v>325</v>
      </c>
      <c r="F66" s="4" t="e">
        <f>'01-BOURACÍ PRÁCE'!#REF!</f>
        <v>#REF!</v>
      </c>
      <c r="G66" s="4" t="e">
        <f>'01-BOURACÍ PRÁCE'!#REF!</f>
        <v>#REF!</v>
      </c>
      <c r="H66" s="4" t="e">
        <f>F66*AE66</f>
        <v>#REF!</v>
      </c>
      <c r="I66" s="4" t="e">
        <f>J66-H66</f>
        <v>#REF!</v>
      </c>
      <c r="J66" s="4" t="e">
        <f>F66*G66</f>
        <v>#REF!</v>
      </c>
      <c r="K66" s="4">
        <v>0.0192</v>
      </c>
      <c r="L66" s="4" t="e">
        <f>F66*K66</f>
        <v>#REF!</v>
      </c>
      <c r="M66" s="47" t="s">
        <v>380</v>
      </c>
      <c r="P66" s="49">
        <f>IF(AG66="5",J66,0)</f>
        <v>0</v>
      </c>
      <c r="R66" s="49">
        <f>IF(AG66="1",H66,0)</f>
        <v>0</v>
      </c>
      <c r="S66" s="49">
        <f>IF(AG66="1",I66,0)</f>
        <v>0</v>
      </c>
      <c r="T66" s="49" t="e">
        <f>IF(AG66="7",H66,0)</f>
        <v>#REF!</v>
      </c>
      <c r="U66" s="49" t="e">
        <f>IF(AG66="7",I66,0)</f>
        <v>#REF!</v>
      </c>
      <c r="V66" s="49">
        <f>IF(AG66="2",H66,0)</f>
        <v>0</v>
      </c>
      <c r="W66" s="49">
        <f>IF(AG66="2",I66,0)</f>
        <v>0</v>
      </c>
      <c r="X66" s="49">
        <f>IF(AG66="0",J66,0)</f>
        <v>0</v>
      </c>
      <c r="Y66" s="41" t="s">
        <v>100</v>
      </c>
      <c r="Z66" s="4">
        <f>IF(AD66=0,J66,0)</f>
        <v>0</v>
      </c>
      <c r="AA66" s="4">
        <f>IF(AD66=15,J66,0)</f>
        <v>0</v>
      </c>
      <c r="AB66" s="4" t="e">
        <f>IF(AD66=21,J66,0)</f>
        <v>#REF!</v>
      </c>
      <c r="AD66" s="49">
        <v>21</v>
      </c>
      <c r="AE66" s="49" t="e">
        <f>G66*1</f>
        <v>#REF!</v>
      </c>
      <c r="AF66" s="49" t="e">
        <f>G66*(1-1)</f>
        <v>#REF!</v>
      </c>
      <c r="AG66" s="47" t="s">
        <v>13</v>
      </c>
      <c r="AM66" s="49" t="e">
        <f>F66*AE66</f>
        <v>#REF!</v>
      </c>
      <c r="AN66" s="49" t="e">
        <f>F66*AF66</f>
        <v>#REF!</v>
      </c>
      <c r="AO66" s="50" t="s">
        <v>400</v>
      </c>
      <c r="AP66" s="50" t="s">
        <v>414</v>
      </c>
      <c r="AQ66" s="41" t="s">
        <v>421</v>
      </c>
      <c r="AS66" s="49" t="e">
        <f>AM66+AN66</f>
        <v>#REF!</v>
      </c>
      <c r="AT66" s="49" t="e">
        <f>G66/(100-AU66)*100</f>
        <v>#REF!</v>
      </c>
      <c r="AU66" s="49">
        <v>0</v>
      </c>
      <c r="AV66" s="49" t="e">
        <f>L66</f>
        <v>#REF!</v>
      </c>
    </row>
    <row r="67" spans="1:48" ht="12.75">
      <c r="A67" s="1" t="s">
        <v>49</v>
      </c>
      <c r="B67" s="1" t="s">
        <v>100</v>
      </c>
      <c r="C67" s="1" t="s">
        <v>150</v>
      </c>
      <c r="D67" s="1" t="s">
        <v>262</v>
      </c>
      <c r="E67" s="1" t="s">
        <v>328</v>
      </c>
      <c r="F67" s="3" t="e">
        <f>'01-BOURACÍ PRÁCE'!#REF!</f>
        <v>#REF!</v>
      </c>
      <c r="G67" s="3" t="e">
        <f>'01-BOURACÍ PRÁCE'!#REF!</f>
        <v>#REF!</v>
      </c>
      <c r="H67" s="3" t="e">
        <f>F67*AE67</f>
        <v>#REF!</v>
      </c>
      <c r="I67" s="3" t="e">
        <f>J67-H67</f>
        <v>#REF!</v>
      </c>
      <c r="J67" s="3" t="e">
        <f>F67*G67</f>
        <v>#REF!</v>
      </c>
      <c r="K67" s="3">
        <v>0.00051</v>
      </c>
      <c r="L67" s="3" t="e">
        <f>F67*K67</f>
        <v>#REF!</v>
      </c>
      <c r="M67" s="46" t="s">
        <v>380</v>
      </c>
      <c r="P67" s="49">
        <f>IF(AG67="5",J67,0)</f>
        <v>0</v>
      </c>
      <c r="R67" s="49">
        <f>IF(AG67="1",H67,0)</f>
        <v>0</v>
      </c>
      <c r="S67" s="49">
        <f>IF(AG67="1",I67,0)</f>
        <v>0</v>
      </c>
      <c r="T67" s="49" t="e">
        <f>IF(AG67="7",H67,0)</f>
        <v>#REF!</v>
      </c>
      <c r="U67" s="49" t="e">
        <f>IF(AG67="7",I67,0)</f>
        <v>#REF!</v>
      </c>
      <c r="V67" s="49">
        <f>IF(AG67="2",H67,0)</f>
        <v>0</v>
      </c>
      <c r="W67" s="49">
        <f>IF(AG67="2",I67,0)</f>
        <v>0</v>
      </c>
      <c r="X67" s="49">
        <f>IF(AG67="0",J67,0)</f>
        <v>0</v>
      </c>
      <c r="Y67" s="41" t="s">
        <v>100</v>
      </c>
      <c r="Z67" s="3">
        <f>IF(AD67=0,J67,0)</f>
        <v>0</v>
      </c>
      <c r="AA67" s="3">
        <f>IF(AD67=15,J67,0)</f>
        <v>0</v>
      </c>
      <c r="AB67" s="3" t="e">
        <f>IF(AD67=21,J67,0)</f>
        <v>#REF!</v>
      </c>
      <c r="AD67" s="49">
        <v>21</v>
      </c>
      <c r="AE67" s="49" t="e">
        <f>G67*0.0716431924882629</f>
        <v>#REF!</v>
      </c>
      <c r="AF67" s="49" t="e">
        <f>G67*(1-0.0716431924882629)</f>
        <v>#REF!</v>
      </c>
      <c r="AG67" s="46" t="s">
        <v>13</v>
      </c>
      <c r="AM67" s="49" t="e">
        <f>F67*AE67</f>
        <v>#REF!</v>
      </c>
      <c r="AN67" s="49" t="e">
        <f>F67*AF67</f>
        <v>#REF!</v>
      </c>
      <c r="AO67" s="50" t="s">
        <v>400</v>
      </c>
      <c r="AP67" s="50" t="s">
        <v>414</v>
      </c>
      <c r="AQ67" s="41" t="s">
        <v>421</v>
      </c>
      <c r="AS67" s="49" t="e">
        <f>AM67+AN67</f>
        <v>#REF!</v>
      </c>
      <c r="AT67" s="49" t="e">
        <f>G67/(100-AU67)*100</f>
        <v>#REF!</v>
      </c>
      <c r="AU67" s="49">
        <v>0</v>
      </c>
      <c r="AV67" s="49" t="e">
        <f>L67</f>
        <v>#REF!</v>
      </c>
    </row>
    <row r="68" spans="1:48" ht="12.75">
      <c r="A68" s="2" t="s">
        <v>50</v>
      </c>
      <c r="B68" s="2" t="s">
        <v>100</v>
      </c>
      <c r="C68" s="2" t="s">
        <v>151</v>
      </c>
      <c r="D68" s="2" t="s">
        <v>263</v>
      </c>
      <c r="E68" s="2" t="s">
        <v>329</v>
      </c>
      <c r="F68" s="4" t="e">
        <f>'01-BOURACÍ PRÁCE'!#REF!</f>
        <v>#REF!</v>
      </c>
      <c r="G68" s="4" t="e">
        <f>'01-BOURACÍ PRÁCE'!#REF!</f>
        <v>#REF!</v>
      </c>
      <c r="H68" s="4" t="e">
        <f>F68*AE68</f>
        <v>#REF!</v>
      </c>
      <c r="I68" s="4" t="e">
        <f>J68-H68</f>
        <v>#REF!</v>
      </c>
      <c r="J68" s="4" t="e">
        <f>F68*G68</f>
        <v>#REF!</v>
      </c>
      <c r="K68" s="4">
        <v>0.00122</v>
      </c>
      <c r="L68" s="4" t="e">
        <f>F68*K68</f>
        <v>#REF!</v>
      </c>
      <c r="M68" s="47" t="s">
        <v>380</v>
      </c>
      <c r="P68" s="49">
        <f>IF(AG68="5",J68,0)</f>
        <v>0</v>
      </c>
      <c r="R68" s="49">
        <f>IF(AG68="1",H68,0)</f>
        <v>0</v>
      </c>
      <c r="S68" s="49">
        <f>IF(AG68="1",I68,0)</f>
        <v>0</v>
      </c>
      <c r="T68" s="49" t="e">
        <f>IF(AG68="7",H68,0)</f>
        <v>#REF!</v>
      </c>
      <c r="U68" s="49" t="e">
        <f>IF(AG68="7",I68,0)</f>
        <v>#REF!</v>
      </c>
      <c r="V68" s="49">
        <f>IF(AG68="2",H68,0)</f>
        <v>0</v>
      </c>
      <c r="W68" s="49">
        <f>IF(AG68="2",I68,0)</f>
        <v>0</v>
      </c>
      <c r="X68" s="49">
        <f>IF(AG68="0",J68,0)</f>
        <v>0</v>
      </c>
      <c r="Y68" s="41" t="s">
        <v>100</v>
      </c>
      <c r="Z68" s="4">
        <f>IF(AD68=0,J68,0)</f>
        <v>0</v>
      </c>
      <c r="AA68" s="4">
        <f>IF(AD68=15,J68,0)</f>
        <v>0</v>
      </c>
      <c r="AB68" s="4" t="e">
        <f>IF(AD68=21,J68,0)</f>
        <v>#REF!</v>
      </c>
      <c r="AD68" s="49">
        <v>21</v>
      </c>
      <c r="AE68" s="49" t="e">
        <f>G68*1</f>
        <v>#REF!</v>
      </c>
      <c r="AF68" s="49" t="e">
        <f>G68*(1-1)</f>
        <v>#REF!</v>
      </c>
      <c r="AG68" s="47" t="s">
        <v>13</v>
      </c>
      <c r="AM68" s="49" t="e">
        <f>F68*AE68</f>
        <v>#REF!</v>
      </c>
      <c r="AN68" s="49" t="e">
        <f>F68*AF68</f>
        <v>#REF!</v>
      </c>
      <c r="AO68" s="50" t="s">
        <v>400</v>
      </c>
      <c r="AP68" s="50" t="s">
        <v>414</v>
      </c>
      <c r="AQ68" s="41" t="s">
        <v>421</v>
      </c>
      <c r="AS68" s="49" t="e">
        <f>AM68+AN68</f>
        <v>#REF!</v>
      </c>
      <c r="AT68" s="49" t="e">
        <f>G68/(100-AU68)*100</f>
        <v>#REF!</v>
      </c>
      <c r="AU68" s="49">
        <v>0</v>
      </c>
      <c r="AV68" s="49" t="e">
        <f>L68</f>
        <v>#REF!</v>
      </c>
    </row>
    <row r="69" spans="1:48" ht="12.75">
      <c r="A69" s="1" t="s">
        <v>51</v>
      </c>
      <c r="B69" s="1" t="s">
        <v>100</v>
      </c>
      <c r="C69" s="1" t="s">
        <v>152</v>
      </c>
      <c r="D69" s="1" t="s">
        <v>264</v>
      </c>
      <c r="E69" s="1" t="s">
        <v>331</v>
      </c>
      <c r="F69" s="3" t="e">
        <f>'01-BOURACÍ PRÁCE'!#REF!</f>
        <v>#REF!</v>
      </c>
      <c r="G69" s="3" t="e">
        <f>'01-BOURACÍ PRÁCE'!#REF!</f>
        <v>#REF!</v>
      </c>
      <c r="H69" s="3" t="e">
        <f>F69*AE69</f>
        <v>#REF!</v>
      </c>
      <c r="I69" s="3" t="e">
        <f>J69-H69</f>
        <v>#REF!</v>
      </c>
      <c r="J69" s="3" t="e">
        <f>F69*G69</f>
        <v>#REF!</v>
      </c>
      <c r="K69" s="3">
        <v>0</v>
      </c>
      <c r="L69" s="3" t="e">
        <f>F69*K69</f>
        <v>#REF!</v>
      </c>
      <c r="M69" s="46" t="s">
        <v>380</v>
      </c>
      <c r="P69" s="49" t="e">
        <f>IF(AG69="5",J69,0)</f>
        <v>#REF!</v>
      </c>
      <c r="R69" s="49">
        <f>IF(AG69="1",H69,0)</f>
        <v>0</v>
      </c>
      <c r="S69" s="49">
        <f>IF(AG69="1",I69,0)</f>
        <v>0</v>
      </c>
      <c r="T69" s="49">
        <f>IF(AG69="7",H69,0)</f>
        <v>0</v>
      </c>
      <c r="U69" s="49">
        <f>IF(AG69="7",I69,0)</f>
        <v>0</v>
      </c>
      <c r="V69" s="49">
        <f>IF(AG69="2",H69,0)</f>
        <v>0</v>
      </c>
      <c r="W69" s="49">
        <f>IF(AG69="2",I69,0)</f>
        <v>0</v>
      </c>
      <c r="X69" s="49">
        <f>IF(AG69="0",J69,0)</f>
        <v>0</v>
      </c>
      <c r="Y69" s="41" t="s">
        <v>100</v>
      </c>
      <c r="Z69" s="3">
        <f>IF(AD69=0,J69,0)</f>
        <v>0</v>
      </c>
      <c r="AA69" s="3">
        <f>IF(AD69=15,J69,0)</f>
        <v>0</v>
      </c>
      <c r="AB69" s="3" t="e">
        <f>IF(AD69=21,J69,0)</f>
        <v>#REF!</v>
      </c>
      <c r="AD69" s="49">
        <v>21</v>
      </c>
      <c r="AE69" s="49" t="e">
        <f>G69*0</f>
        <v>#REF!</v>
      </c>
      <c r="AF69" s="49" t="e">
        <f>G69*(1-0)</f>
        <v>#REF!</v>
      </c>
      <c r="AG69" s="46" t="s">
        <v>11</v>
      </c>
      <c r="AM69" s="49" t="e">
        <f>F69*AE69</f>
        <v>#REF!</v>
      </c>
      <c r="AN69" s="49" t="e">
        <f>F69*AF69</f>
        <v>#REF!</v>
      </c>
      <c r="AO69" s="50" t="s">
        <v>400</v>
      </c>
      <c r="AP69" s="50" t="s">
        <v>414</v>
      </c>
      <c r="AQ69" s="41" t="s">
        <v>421</v>
      </c>
      <c r="AS69" s="49" t="e">
        <f>AM69+AN69</f>
        <v>#REF!</v>
      </c>
      <c r="AT69" s="49" t="e">
        <f>G69/(100-AU69)*100</f>
        <v>#REF!</v>
      </c>
      <c r="AU69" s="49">
        <v>0</v>
      </c>
      <c r="AV69" s="49" t="e">
        <f>L69</f>
        <v>#REF!</v>
      </c>
    </row>
    <row r="70" spans="1:37" ht="12.75">
      <c r="A70" s="24"/>
      <c r="B70" s="31" t="s">
        <v>100</v>
      </c>
      <c r="C70" s="31" t="s">
        <v>153</v>
      </c>
      <c r="D70" s="31" t="s">
        <v>265</v>
      </c>
      <c r="E70" s="24" t="s">
        <v>6</v>
      </c>
      <c r="F70" s="24" t="s">
        <v>6</v>
      </c>
      <c r="G70" s="24" t="s">
        <v>6</v>
      </c>
      <c r="H70" s="6" t="e">
        <f>SUM(H71:H73)</f>
        <v>#REF!</v>
      </c>
      <c r="I70" s="6" t="e">
        <f>SUM(I71:I73)</f>
        <v>#REF!</v>
      </c>
      <c r="J70" s="6" t="e">
        <f>H70+I70</f>
        <v>#REF!</v>
      </c>
      <c r="K70" s="41"/>
      <c r="L70" s="6" t="e">
        <f>SUM(L71:L73)</f>
        <v>#REF!</v>
      </c>
      <c r="M70" s="41"/>
      <c r="Y70" s="41" t="s">
        <v>100</v>
      </c>
      <c r="AI70" s="6">
        <f>SUM(Z71:Z73)</f>
        <v>0</v>
      </c>
      <c r="AJ70" s="6">
        <f>SUM(AA71:AA73)</f>
        <v>0</v>
      </c>
      <c r="AK70" s="6" t="e">
        <f>SUM(AB71:AB73)</f>
        <v>#REF!</v>
      </c>
    </row>
    <row r="71" spans="1:48" ht="12.75">
      <c r="A71" s="1" t="s">
        <v>52</v>
      </c>
      <c r="B71" s="1" t="s">
        <v>100</v>
      </c>
      <c r="C71" s="1" t="s">
        <v>154</v>
      </c>
      <c r="D71" s="1" t="s">
        <v>266</v>
      </c>
      <c r="E71" s="1" t="s">
        <v>325</v>
      </c>
      <c r="F71" s="3" t="e">
        <f>'01-BOURACÍ PRÁCE'!#REF!</f>
        <v>#REF!</v>
      </c>
      <c r="G71" s="3" t="e">
        <f>'01-BOURACÍ PRÁCE'!#REF!</f>
        <v>#REF!</v>
      </c>
      <c r="H71" s="3" t="e">
        <f>F71*AE71</f>
        <v>#REF!</v>
      </c>
      <c r="I71" s="3" t="e">
        <f>J71-H71</f>
        <v>#REF!</v>
      </c>
      <c r="J71" s="3" t="e">
        <f>F71*G71</f>
        <v>#REF!</v>
      </c>
      <c r="K71" s="3">
        <v>0.00524</v>
      </c>
      <c r="L71" s="3" t="e">
        <f>F71*K71</f>
        <v>#REF!</v>
      </c>
      <c r="M71" s="46" t="s">
        <v>380</v>
      </c>
      <c r="P71" s="49">
        <f>IF(AG71="5",J71,0)</f>
        <v>0</v>
      </c>
      <c r="R71" s="49">
        <f>IF(AG71="1",H71,0)</f>
        <v>0</v>
      </c>
      <c r="S71" s="49">
        <f>IF(AG71="1",I71,0)</f>
        <v>0</v>
      </c>
      <c r="T71" s="49" t="e">
        <f>IF(AG71="7",H71,0)</f>
        <v>#REF!</v>
      </c>
      <c r="U71" s="49" t="e">
        <f>IF(AG71="7",I71,0)</f>
        <v>#REF!</v>
      </c>
      <c r="V71" s="49">
        <f>IF(AG71="2",H71,0)</f>
        <v>0</v>
      </c>
      <c r="W71" s="49">
        <f>IF(AG71="2",I71,0)</f>
        <v>0</v>
      </c>
      <c r="X71" s="49">
        <f>IF(AG71="0",J71,0)</f>
        <v>0</v>
      </c>
      <c r="Y71" s="41" t="s">
        <v>100</v>
      </c>
      <c r="Z71" s="3">
        <f>IF(AD71=0,J71,0)</f>
        <v>0</v>
      </c>
      <c r="AA71" s="3">
        <f>IF(AD71=15,J71,0)</f>
        <v>0</v>
      </c>
      <c r="AB71" s="3" t="e">
        <f>IF(AD71=21,J71,0)</f>
        <v>#REF!</v>
      </c>
      <c r="AD71" s="49">
        <v>21</v>
      </c>
      <c r="AE71" s="49" t="e">
        <f>G71*0.132348875888711</f>
        <v>#REF!</v>
      </c>
      <c r="AF71" s="49" t="e">
        <f>G71*(1-0.132348875888711)</f>
        <v>#REF!</v>
      </c>
      <c r="AG71" s="46" t="s">
        <v>13</v>
      </c>
      <c r="AM71" s="49" t="e">
        <f>F71*AE71</f>
        <v>#REF!</v>
      </c>
      <c r="AN71" s="49" t="e">
        <f>F71*AF71</f>
        <v>#REF!</v>
      </c>
      <c r="AO71" s="50" t="s">
        <v>401</v>
      </c>
      <c r="AP71" s="50" t="s">
        <v>415</v>
      </c>
      <c r="AQ71" s="41" t="s">
        <v>421</v>
      </c>
      <c r="AS71" s="49" t="e">
        <f>AM71+AN71</f>
        <v>#REF!</v>
      </c>
      <c r="AT71" s="49" t="e">
        <f>G71/(100-AU71)*100</f>
        <v>#REF!</v>
      </c>
      <c r="AU71" s="49">
        <v>0</v>
      </c>
      <c r="AV71" s="49" t="e">
        <f>L71</f>
        <v>#REF!</v>
      </c>
    </row>
    <row r="72" spans="1:48" ht="12.75">
      <c r="A72" s="2" t="s">
        <v>53</v>
      </c>
      <c r="B72" s="2" t="s">
        <v>100</v>
      </c>
      <c r="C72" s="2" t="s">
        <v>155</v>
      </c>
      <c r="D72" s="2" t="s">
        <v>267</v>
      </c>
      <c r="E72" s="2" t="s">
        <v>325</v>
      </c>
      <c r="F72" s="4" t="e">
        <f>'01-BOURACÍ PRÁCE'!#REF!</f>
        <v>#REF!</v>
      </c>
      <c r="G72" s="4" t="e">
        <f>'01-BOURACÍ PRÁCE'!#REF!</f>
        <v>#REF!</v>
      </c>
      <c r="H72" s="4" t="e">
        <f>F72*AE72</f>
        <v>#REF!</v>
      </c>
      <c r="I72" s="4" t="e">
        <f>J72-H72</f>
        <v>#REF!</v>
      </c>
      <c r="J72" s="4" t="e">
        <f>F72*G72</f>
        <v>#REF!</v>
      </c>
      <c r="K72" s="4">
        <v>0.0105</v>
      </c>
      <c r="L72" s="4" t="e">
        <f>F72*K72</f>
        <v>#REF!</v>
      </c>
      <c r="M72" s="47" t="s">
        <v>380</v>
      </c>
      <c r="P72" s="49">
        <f>IF(AG72="5",J72,0)</f>
        <v>0</v>
      </c>
      <c r="R72" s="49">
        <f>IF(AG72="1",H72,0)</f>
        <v>0</v>
      </c>
      <c r="S72" s="49">
        <f>IF(AG72="1",I72,0)</f>
        <v>0</v>
      </c>
      <c r="T72" s="49" t="e">
        <f>IF(AG72="7",H72,0)</f>
        <v>#REF!</v>
      </c>
      <c r="U72" s="49" t="e">
        <f>IF(AG72="7",I72,0)</f>
        <v>#REF!</v>
      </c>
      <c r="V72" s="49">
        <f>IF(AG72="2",H72,0)</f>
        <v>0</v>
      </c>
      <c r="W72" s="49">
        <f>IF(AG72="2",I72,0)</f>
        <v>0</v>
      </c>
      <c r="X72" s="49">
        <f>IF(AG72="0",J72,0)</f>
        <v>0</v>
      </c>
      <c r="Y72" s="41" t="s">
        <v>100</v>
      </c>
      <c r="Z72" s="4">
        <f>IF(AD72=0,J72,0)</f>
        <v>0</v>
      </c>
      <c r="AA72" s="4">
        <f>IF(AD72=15,J72,0)</f>
        <v>0</v>
      </c>
      <c r="AB72" s="4" t="e">
        <f>IF(AD72=21,J72,0)</f>
        <v>#REF!</v>
      </c>
      <c r="AD72" s="49">
        <v>21</v>
      </c>
      <c r="AE72" s="49" t="e">
        <f>G72*1</f>
        <v>#REF!</v>
      </c>
      <c r="AF72" s="49" t="e">
        <f>G72*(1-1)</f>
        <v>#REF!</v>
      </c>
      <c r="AG72" s="47" t="s">
        <v>13</v>
      </c>
      <c r="AM72" s="49" t="e">
        <f>F72*AE72</f>
        <v>#REF!</v>
      </c>
      <c r="AN72" s="49" t="e">
        <f>F72*AF72</f>
        <v>#REF!</v>
      </c>
      <c r="AO72" s="50" t="s">
        <v>401</v>
      </c>
      <c r="AP72" s="50" t="s">
        <v>415</v>
      </c>
      <c r="AQ72" s="41" t="s">
        <v>421</v>
      </c>
      <c r="AS72" s="49" t="e">
        <f>AM72+AN72</f>
        <v>#REF!</v>
      </c>
      <c r="AT72" s="49" t="e">
        <f>G72/(100-AU72)*100</f>
        <v>#REF!</v>
      </c>
      <c r="AU72" s="49">
        <v>0</v>
      </c>
      <c r="AV72" s="49" t="e">
        <f>L72</f>
        <v>#REF!</v>
      </c>
    </row>
    <row r="73" spans="1:48" ht="12.75">
      <c r="A73" s="1" t="s">
        <v>54</v>
      </c>
      <c r="B73" s="1" t="s">
        <v>100</v>
      </c>
      <c r="C73" s="1" t="s">
        <v>156</v>
      </c>
      <c r="D73" s="1" t="s">
        <v>268</v>
      </c>
      <c r="E73" s="1" t="s">
        <v>331</v>
      </c>
      <c r="F73" s="3" t="e">
        <f>'01-BOURACÍ PRÁCE'!#REF!</f>
        <v>#REF!</v>
      </c>
      <c r="G73" s="3" t="e">
        <f>'01-BOURACÍ PRÁCE'!#REF!</f>
        <v>#REF!</v>
      </c>
      <c r="H73" s="3" t="e">
        <f>F73*AE73</f>
        <v>#REF!</v>
      </c>
      <c r="I73" s="3" t="e">
        <f>J73-H73</f>
        <v>#REF!</v>
      </c>
      <c r="J73" s="3" t="e">
        <f>F73*G73</f>
        <v>#REF!</v>
      </c>
      <c r="K73" s="3">
        <v>0</v>
      </c>
      <c r="L73" s="3" t="e">
        <f>F73*K73</f>
        <v>#REF!</v>
      </c>
      <c r="M73" s="46" t="s">
        <v>380</v>
      </c>
      <c r="P73" s="49" t="e">
        <f>IF(AG73="5",J73,0)</f>
        <v>#REF!</v>
      </c>
      <c r="R73" s="49">
        <f>IF(AG73="1",H73,0)</f>
        <v>0</v>
      </c>
      <c r="S73" s="49">
        <f>IF(AG73="1",I73,0)</f>
        <v>0</v>
      </c>
      <c r="T73" s="49">
        <f>IF(AG73="7",H73,0)</f>
        <v>0</v>
      </c>
      <c r="U73" s="49">
        <f>IF(AG73="7",I73,0)</f>
        <v>0</v>
      </c>
      <c r="V73" s="49">
        <f>IF(AG73="2",H73,0)</f>
        <v>0</v>
      </c>
      <c r="W73" s="49">
        <f>IF(AG73="2",I73,0)</f>
        <v>0</v>
      </c>
      <c r="X73" s="49">
        <f>IF(AG73="0",J73,0)</f>
        <v>0</v>
      </c>
      <c r="Y73" s="41" t="s">
        <v>100</v>
      </c>
      <c r="Z73" s="3">
        <f>IF(AD73=0,J73,0)</f>
        <v>0</v>
      </c>
      <c r="AA73" s="3">
        <f>IF(AD73=15,J73,0)</f>
        <v>0</v>
      </c>
      <c r="AB73" s="3" t="e">
        <f>IF(AD73=21,J73,0)</f>
        <v>#REF!</v>
      </c>
      <c r="AD73" s="49">
        <v>21</v>
      </c>
      <c r="AE73" s="49" t="e">
        <f>G73*0</f>
        <v>#REF!</v>
      </c>
      <c r="AF73" s="49" t="e">
        <f>G73*(1-0)</f>
        <v>#REF!</v>
      </c>
      <c r="AG73" s="46" t="s">
        <v>11</v>
      </c>
      <c r="AM73" s="49" t="e">
        <f>F73*AE73</f>
        <v>#REF!</v>
      </c>
      <c r="AN73" s="49" t="e">
        <f>F73*AF73</f>
        <v>#REF!</v>
      </c>
      <c r="AO73" s="50" t="s">
        <v>401</v>
      </c>
      <c r="AP73" s="50" t="s">
        <v>415</v>
      </c>
      <c r="AQ73" s="41" t="s">
        <v>421</v>
      </c>
      <c r="AS73" s="49" t="e">
        <f>AM73+AN73</f>
        <v>#REF!</v>
      </c>
      <c r="AT73" s="49" t="e">
        <f>G73/(100-AU73)*100</f>
        <v>#REF!</v>
      </c>
      <c r="AU73" s="49">
        <v>0</v>
      </c>
      <c r="AV73" s="49" t="e">
        <f>L73</f>
        <v>#REF!</v>
      </c>
    </row>
    <row r="74" spans="1:37" ht="12.75">
      <c r="A74" s="24"/>
      <c r="B74" s="31" t="s">
        <v>100</v>
      </c>
      <c r="C74" s="31" t="s">
        <v>157</v>
      </c>
      <c r="D74" s="31" t="s">
        <v>269</v>
      </c>
      <c r="E74" s="24" t="s">
        <v>6</v>
      </c>
      <c r="F74" s="24" t="s">
        <v>6</v>
      </c>
      <c r="G74" s="24" t="s">
        <v>6</v>
      </c>
      <c r="H74" s="6" t="e">
        <f>SUM(H75:H76)</f>
        <v>#REF!</v>
      </c>
      <c r="I74" s="6" t="e">
        <f>SUM(I75:I76)</f>
        <v>#REF!</v>
      </c>
      <c r="J74" s="6" t="e">
        <f>H74+I74</f>
        <v>#REF!</v>
      </c>
      <c r="K74" s="41"/>
      <c r="L74" s="6" t="e">
        <f>SUM(L75:L76)</f>
        <v>#REF!</v>
      </c>
      <c r="M74" s="41"/>
      <c r="Y74" s="41" t="s">
        <v>100</v>
      </c>
      <c r="AI74" s="6">
        <f>SUM(Z75:Z76)</f>
        <v>0</v>
      </c>
      <c r="AJ74" s="6">
        <f>SUM(AA75:AA76)</f>
        <v>0</v>
      </c>
      <c r="AK74" s="6" t="e">
        <f>SUM(AB75:AB76)</f>
        <v>#REF!</v>
      </c>
    </row>
    <row r="75" spans="1:48" ht="12.75">
      <c r="A75" s="1" t="s">
        <v>55</v>
      </c>
      <c r="B75" s="1" t="s">
        <v>100</v>
      </c>
      <c r="C75" s="1" t="s">
        <v>158</v>
      </c>
      <c r="D75" s="1" t="s">
        <v>270</v>
      </c>
      <c r="E75" s="1" t="s">
        <v>325</v>
      </c>
      <c r="F75" s="3" t="e">
        <f>'01-BOURACÍ PRÁCE'!#REF!</f>
        <v>#REF!</v>
      </c>
      <c r="G75" s="3" t="e">
        <f>'01-BOURACÍ PRÁCE'!#REF!</f>
        <v>#REF!</v>
      </c>
      <c r="H75" s="3" t="e">
        <f>F75*AE75</f>
        <v>#REF!</v>
      </c>
      <c r="I75" s="3" t="e">
        <f>J75-H75</f>
        <v>#REF!</v>
      </c>
      <c r="J75" s="3" t="e">
        <f>F75*G75</f>
        <v>#REF!</v>
      </c>
      <c r="K75" s="3">
        <v>7E-05</v>
      </c>
      <c r="L75" s="3" t="e">
        <f>F75*K75</f>
        <v>#REF!</v>
      </c>
      <c r="M75" s="46" t="s">
        <v>380</v>
      </c>
      <c r="P75" s="49">
        <f>IF(AG75="5",J75,0)</f>
        <v>0</v>
      </c>
      <c r="R75" s="49">
        <f>IF(AG75="1",H75,0)</f>
        <v>0</v>
      </c>
      <c r="S75" s="49">
        <f>IF(AG75="1",I75,0)</f>
        <v>0</v>
      </c>
      <c r="T75" s="49" t="e">
        <f>IF(AG75="7",H75,0)</f>
        <v>#REF!</v>
      </c>
      <c r="U75" s="49" t="e">
        <f>IF(AG75="7",I75,0)</f>
        <v>#REF!</v>
      </c>
      <c r="V75" s="49">
        <f>IF(AG75="2",H75,0)</f>
        <v>0</v>
      </c>
      <c r="W75" s="49">
        <f>IF(AG75="2",I75,0)</f>
        <v>0</v>
      </c>
      <c r="X75" s="49">
        <f>IF(AG75="0",J75,0)</f>
        <v>0</v>
      </c>
      <c r="Y75" s="41" t="s">
        <v>100</v>
      </c>
      <c r="Z75" s="3">
        <f>IF(AD75=0,J75,0)</f>
        <v>0</v>
      </c>
      <c r="AA75" s="3">
        <f>IF(AD75=15,J75,0)</f>
        <v>0</v>
      </c>
      <c r="AB75" s="3" t="e">
        <f>IF(AD75=21,J75,0)</f>
        <v>#REF!</v>
      </c>
      <c r="AD75" s="49">
        <v>21</v>
      </c>
      <c r="AE75" s="49" t="e">
        <f>G75*0.19575390576178</f>
        <v>#REF!</v>
      </c>
      <c r="AF75" s="49" t="e">
        <f>G75*(1-0.19575390576178)</f>
        <v>#REF!</v>
      </c>
      <c r="AG75" s="46" t="s">
        <v>13</v>
      </c>
      <c r="AM75" s="49" t="e">
        <f>F75*AE75</f>
        <v>#REF!</v>
      </c>
      <c r="AN75" s="49" t="e">
        <f>F75*AF75</f>
        <v>#REF!</v>
      </c>
      <c r="AO75" s="50" t="s">
        <v>402</v>
      </c>
      <c r="AP75" s="50" t="s">
        <v>415</v>
      </c>
      <c r="AQ75" s="41" t="s">
        <v>421</v>
      </c>
      <c r="AS75" s="49" t="e">
        <f>AM75+AN75</f>
        <v>#REF!</v>
      </c>
      <c r="AT75" s="49" t="e">
        <f>G75/(100-AU75)*100</f>
        <v>#REF!</v>
      </c>
      <c r="AU75" s="49">
        <v>0</v>
      </c>
      <c r="AV75" s="49" t="e">
        <f>L75</f>
        <v>#REF!</v>
      </c>
    </row>
    <row r="76" spans="1:48" ht="12.75">
      <c r="A76" s="1" t="s">
        <v>56</v>
      </c>
      <c r="B76" s="1" t="s">
        <v>100</v>
      </c>
      <c r="C76" s="1" t="s">
        <v>159</v>
      </c>
      <c r="D76" s="1" t="s">
        <v>271</v>
      </c>
      <c r="E76" s="1" t="s">
        <v>325</v>
      </c>
      <c r="F76" s="3" t="e">
        <f>'01-BOURACÍ PRÁCE'!#REF!</f>
        <v>#REF!</v>
      </c>
      <c r="G76" s="3" t="e">
        <f>'01-BOURACÍ PRÁCE'!#REF!</f>
        <v>#REF!</v>
      </c>
      <c r="H76" s="3" t="e">
        <f>F76*AE76</f>
        <v>#REF!</v>
      </c>
      <c r="I76" s="3" t="e">
        <f>J76-H76</f>
        <v>#REF!</v>
      </c>
      <c r="J76" s="3" t="e">
        <f>F76*G76</f>
        <v>#REF!</v>
      </c>
      <c r="K76" s="3">
        <v>0.00016</v>
      </c>
      <c r="L76" s="3" t="e">
        <f>F76*K76</f>
        <v>#REF!</v>
      </c>
      <c r="M76" s="46" t="s">
        <v>380</v>
      </c>
      <c r="P76" s="49">
        <f>IF(AG76="5",J76,0)</f>
        <v>0</v>
      </c>
      <c r="R76" s="49">
        <f>IF(AG76="1",H76,0)</f>
        <v>0</v>
      </c>
      <c r="S76" s="49">
        <f>IF(AG76="1",I76,0)</f>
        <v>0</v>
      </c>
      <c r="T76" s="49" t="e">
        <f>IF(AG76="7",H76,0)</f>
        <v>#REF!</v>
      </c>
      <c r="U76" s="49" t="e">
        <f>IF(AG76="7",I76,0)</f>
        <v>#REF!</v>
      </c>
      <c r="V76" s="49">
        <f>IF(AG76="2",H76,0)</f>
        <v>0</v>
      </c>
      <c r="W76" s="49">
        <f>IF(AG76="2",I76,0)</f>
        <v>0</v>
      </c>
      <c r="X76" s="49">
        <f>IF(AG76="0",J76,0)</f>
        <v>0</v>
      </c>
      <c r="Y76" s="41" t="s">
        <v>100</v>
      </c>
      <c r="Z76" s="3">
        <f>IF(AD76=0,J76,0)</f>
        <v>0</v>
      </c>
      <c r="AA76" s="3">
        <f>IF(AD76=15,J76,0)</f>
        <v>0</v>
      </c>
      <c r="AB76" s="3" t="e">
        <f>IF(AD76=21,J76,0)</f>
        <v>#REF!</v>
      </c>
      <c r="AD76" s="49">
        <v>21</v>
      </c>
      <c r="AE76" s="49" t="e">
        <f>G76*0.114682351978395</f>
        <v>#REF!</v>
      </c>
      <c r="AF76" s="49" t="e">
        <f>G76*(1-0.114682351978395)</f>
        <v>#REF!</v>
      </c>
      <c r="AG76" s="46" t="s">
        <v>13</v>
      </c>
      <c r="AM76" s="49" t="e">
        <f>F76*AE76</f>
        <v>#REF!</v>
      </c>
      <c r="AN76" s="49" t="e">
        <f>F76*AF76</f>
        <v>#REF!</v>
      </c>
      <c r="AO76" s="50" t="s">
        <v>402</v>
      </c>
      <c r="AP76" s="50" t="s">
        <v>415</v>
      </c>
      <c r="AQ76" s="41" t="s">
        <v>421</v>
      </c>
      <c r="AS76" s="49" t="e">
        <f>AM76+AN76</f>
        <v>#REF!</v>
      </c>
      <c r="AT76" s="49" t="e">
        <f>G76/(100-AU76)*100</f>
        <v>#REF!</v>
      </c>
      <c r="AU76" s="49">
        <v>0</v>
      </c>
      <c r="AV76" s="49" t="e">
        <f>L76</f>
        <v>#REF!</v>
      </c>
    </row>
    <row r="77" spans="1:37" ht="12.75">
      <c r="A77" s="24"/>
      <c r="B77" s="31" t="s">
        <v>100</v>
      </c>
      <c r="C77" s="31" t="s">
        <v>160</v>
      </c>
      <c r="D77" s="31" t="s">
        <v>272</v>
      </c>
      <c r="E77" s="24" t="s">
        <v>6</v>
      </c>
      <c r="F77" s="24" t="s">
        <v>6</v>
      </c>
      <c r="G77" s="24" t="s">
        <v>6</v>
      </c>
      <c r="H77" s="6" t="e">
        <f>SUM(H78:H78)</f>
        <v>#REF!</v>
      </c>
      <c r="I77" s="6" t="e">
        <f>SUM(I78:I78)</f>
        <v>#REF!</v>
      </c>
      <c r="J77" s="6" t="e">
        <f>H77+I77</f>
        <v>#REF!</v>
      </c>
      <c r="K77" s="41"/>
      <c r="L77" s="6" t="e">
        <f>SUM(L78:L78)</f>
        <v>#REF!</v>
      </c>
      <c r="M77" s="41"/>
      <c r="Y77" s="41" t="s">
        <v>100</v>
      </c>
      <c r="AI77" s="6">
        <f>SUM(Z78:Z78)</f>
        <v>0</v>
      </c>
      <c r="AJ77" s="6">
        <f>SUM(AA78:AA78)</f>
        <v>0</v>
      </c>
      <c r="AK77" s="6" t="e">
        <f>SUM(AB78:AB78)</f>
        <v>#REF!</v>
      </c>
    </row>
    <row r="78" spans="1:48" ht="12.75">
      <c r="A78" s="1" t="s">
        <v>57</v>
      </c>
      <c r="B78" s="1" t="s">
        <v>100</v>
      </c>
      <c r="C78" s="1" t="s">
        <v>161</v>
      </c>
      <c r="D78" s="1" t="s">
        <v>273</v>
      </c>
      <c r="E78" s="1" t="s">
        <v>325</v>
      </c>
      <c r="F78" s="3" t="e">
        <f>'01-BOURACÍ PRÁCE'!#REF!</f>
        <v>#REF!</v>
      </c>
      <c r="G78" s="3" t="e">
        <f>'01-BOURACÍ PRÁCE'!#REF!</f>
        <v>#REF!</v>
      </c>
      <c r="H78" s="3" t="e">
        <f>F78*AE78</f>
        <v>#REF!</v>
      </c>
      <c r="I78" s="3" t="e">
        <f>J78-H78</f>
        <v>#REF!</v>
      </c>
      <c r="J78" s="3" t="e">
        <f>F78*G78</f>
        <v>#REF!</v>
      </c>
      <c r="K78" s="3">
        <v>0.00158</v>
      </c>
      <c r="L78" s="3" t="e">
        <f>F78*K78</f>
        <v>#REF!</v>
      </c>
      <c r="M78" s="46" t="s">
        <v>380</v>
      </c>
      <c r="P78" s="49">
        <f>IF(AG78="5",J78,0)</f>
        <v>0</v>
      </c>
      <c r="R78" s="49" t="e">
        <f>IF(AG78="1",H78,0)</f>
        <v>#REF!</v>
      </c>
      <c r="S78" s="49" t="e">
        <f>IF(AG78="1",I78,0)</f>
        <v>#REF!</v>
      </c>
      <c r="T78" s="49">
        <f>IF(AG78="7",H78,0)</f>
        <v>0</v>
      </c>
      <c r="U78" s="49">
        <f>IF(AG78="7",I78,0)</f>
        <v>0</v>
      </c>
      <c r="V78" s="49">
        <f>IF(AG78="2",H78,0)</f>
        <v>0</v>
      </c>
      <c r="W78" s="49">
        <f>IF(AG78="2",I78,0)</f>
        <v>0</v>
      </c>
      <c r="X78" s="49">
        <f>IF(AG78="0",J78,0)</f>
        <v>0</v>
      </c>
      <c r="Y78" s="41" t="s">
        <v>100</v>
      </c>
      <c r="Z78" s="3">
        <f>IF(AD78=0,J78,0)</f>
        <v>0</v>
      </c>
      <c r="AA78" s="3">
        <f>IF(AD78=15,J78,0)</f>
        <v>0</v>
      </c>
      <c r="AB78" s="3" t="e">
        <f>IF(AD78=21,J78,0)</f>
        <v>#REF!</v>
      </c>
      <c r="AD78" s="49">
        <v>21</v>
      </c>
      <c r="AE78" s="49" t="e">
        <f>G78*0.392362445294652</f>
        <v>#REF!</v>
      </c>
      <c r="AF78" s="49" t="e">
        <f>G78*(1-0.392362445294652)</f>
        <v>#REF!</v>
      </c>
      <c r="AG78" s="46" t="s">
        <v>7</v>
      </c>
      <c r="AM78" s="49" t="e">
        <f>F78*AE78</f>
        <v>#REF!</v>
      </c>
      <c r="AN78" s="49" t="e">
        <f>F78*AF78</f>
        <v>#REF!</v>
      </c>
      <c r="AO78" s="50" t="s">
        <v>403</v>
      </c>
      <c r="AP78" s="50" t="s">
        <v>416</v>
      </c>
      <c r="AQ78" s="41" t="s">
        <v>421</v>
      </c>
      <c r="AS78" s="49" t="e">
        <f>AM78+AN78</f>
        <v>#REF!</v>
      </c>
      <c r="AT78" s="49" t="e">
        <f>G78/(100-AU78)*100</f>
        <v>#REF!</v>
      </c>
      <c r="AU78" s="49">
        <v>0</v>
      </c>
      <c r="AV78" s="49" t="e">
        <f>L78</f>
        <v>#REF!</v>
      </c>
    </row>
    <row r="79" spans="1:37" ht="12.75">
      <c r="A79" s="24"/>
      <c r="B79" s="31" t="s">
        <v>100</v>
      </c>
      <c r="C79" s="31" t="s">
        <v>103</v>
      </c>
      <c r="D79" s="31" t="s">
        <v>208</v>
      </c>
      <c r="E79" s="24" t="s">
        <v>6</v>
      </c>
      <c r="F79" s="24" t="s">
        <v>6</v>
      </c>
      <c r="G79" s="24" t="s">
        <v>6</v>
      </c>
      <c r="H79" s="6" t="e">
        <f>SUM(H80:H80)</f>
        <v>#REF!</v>
      </c>
      <c r="I79" s="6" t="e">
        <f>SUM(I80:I80)</f>
        <v>#REF!</v>
      </c>
      <c r="J79" s="6" t="e">
        <f>H79+I79</f>
        <v>#REF!</v>
      </c>
      <c r="K79" s="41"/>
      <c r="L79" s="6" t="e">
        <f>SUM(L80:L80)</f>
        <v>#REF!</v>
      </c>
      <c r="M79" s="41"/>
      <c r="Y79" s="41" t="s">
        <v>100</v>
      </c>
      <c r="AI79" s="6">
        <f>SUM(Z80:Z80)</f>
        <v>0</v>
      </c>
      <c r="AJ79" s="6">
        <f>SUM(AA80:AA80)</f>
        <v>0</v>
      </c>
      <c r="AK79" s="6" t="e">
        <f>SUM(AB80:AB80)</f>
        <v>#REF!</v>
      </c>
    </row>
    <row r="80" spans="1:48" ht="12.75">
      <c r="A80" s="1" t="s">
        <v>58</v>
      </c>
      <c r="B80" s="1" t="s">
        <v>100</v>
      </c>
      <c r="C80" s="1" t="s">
        <v>104</v>
      </c>
      <c r="D80" s="1" t="s">
        <v>274</v>
      </c>
      <c r="E80" s="1" t="s">
        <v>325</v>
      </c>
      <c r="F80" s="3" t="e">
        <f>'01-BOURACÍ PRÁCE'!#REF!</f>
        <v>#REF!</v>
      </c>
      <c r="G80" s="3" t="e">
        <f>'01-BOURACÍ PRÁCE'!#REF!</f>
        <v>#REF!</v>
      </c>
      <c r="H80" s="3" t="e">
        <f>F80*AE80</f>
        <v>#REF!</v>
      </c>
      <c r="I80" s="3" t="e">
        <f>J80-H80</f>
        <v>#REF!</v>
      </c>
      <c r="J80" s="3" t="e">
        <f>F80*G80</f>
        <v>#REF!</v>
      </c>
      <c r="K80" s="3">
        <v>4E-05</v>
      </c>
      <c r="L80" s="3" t="e">
        <f>F80*K80</f>
        <v>#REF!</v>
      </c>
      <c r="M80" s="46" t="s">
        <v>380</v>
      </c>
      <c r="P80" s="49">
        <f>IF(AG80="5",J80,0)</f>
        <v>0</v>
      </c>
      <c r="R80" s="49" t="e">
        <f>IF(AG80="1",H80,0)</f>
        <v>#REF!</v>
      </c>
      <c r="S80" s="49" t="e">
        <f>IF(AG80="1",I80,0)</f>
        <v>#REF!</v>
      </c>
      <c r="T80" s="49">
        <f>IF(AG80="7",H80,0)</f>
        <v>0</v>
      </c>
      <c r="U80" s="49">
        <f>IF(AG80="7",I80,0)</f>
        <v>0</v>
      </c>
      <c r="V80" s="49">
        <f>IF(AG80="2",H80,0)</f>
        <v>0</v>
      </c>
      <c r="W80" s="49">
        <f>IF(AG80="2",I80,0)</f>
        <v>0</v>
      </c>
      <c r="X80" s="49">
        <f>IF(AG80="0",J80,0)</f>
        <v>0</v>
      </c>
      <c r="Y80" s="41" t="s">
        <v>100</v>
      </c>
      <c r="Z80" s="3">
        <f>IF(AD80=0,J80,0)</f>
        <v>0</v>
      </c>
      <c r="AA80" s="3">
        <f>IF(AD80=15,J80,0)</f>
        <v>0</v>
      </c>
      <c r="AB80" s="3" t="e">
        <f>IF(AD80=21,J80,0)</f>
        <v>#REF!</v>
      </c>
      <c r="AD80" s="49">
        <v>21</v>
      </c>
      <c r="AE80" s="49" t="e">
        <f>G80*0.0144263133579725</f>
        <v>#REF!</v>
      </c>
      <c r="AF80" s="49" t="e">
        <f>G80*(1-0.0144263133579725)</f>
        <v>#REF!</v>
      </c>
      <c r="AG80" s="46" t="s">
        <v>7</v>
      </c>
      <c r="AM80" s="49" t="e">
        <f>F80*AE80</f>
        <v>#REF!</v>
      </c>
      <c r="AN80" s="49" t="e">
        <f>F80*AF80</f>
        <v>#REF!</v>
      </c>
      <c r="AO80" s="50" t="s">
        <v>390</v>
      </c>
      <c r="AP80" s="50" t="s">
        <v>416</v>
      </c>
      <c r="AQ80" s="41" t="s">
        <v>421</v>
      </c>
      <c r="AS80" s="49" t="e">
        <f>AM80+AN80</f>
        <v>#REF!</v>
      </c>
      <c r="AT80" s="49" t="e">
        <f>G80/(100-AU80)*100</f>
        <v>#REF!</v>
      </c>
      <c r="AU80" s="49">
        <v>0</v>
      </c>
      <c r="AV80" s="49" t="e">
        <f>L80</f>
        <v>#REF!</v>
      </c>
    </row>
    <row r="81" spans="1:37" ht="12.75">
      <c r="A81" s="24"/>
      <c r="B81" s="31" t="s">
        <v>100</v>
      </c>
      <c r="C81" s="31" t="s">
        <v>162</v>
      </c>
      <c r="D81" s="31" t="s">
        <v>275</v>
      </c>
      <c r="E81" s="24" t="s">
        <v>6</v>
      </c>
      <c r="F81" s="24" t="s">
        <v>6</v>
      </c>
      <c r="G81" s="24" t="s">
        <v>6</v>
      </c>
      <c r="H81" s="6" t="e">
        <f>SUM(H82:H82)</f>
        <v>#REF!</v>
      </c>
      <c r="I81" s="6" t="e">
        <f>SUM(I82:I82)</f>
        <v>#REF!</v>
      </c>
      <c r="J81" s="6" t="e">
        <f>H81+I81</f>
        <v>#REF!</v>
      </c>
      <c r="K81" s="41"/>
      <c r="L81" s="6" t="e">
        <f>SUM(L82:L82)</f>
        <v>#REF!</v>
      </c>
      <c r="M81" s="41"/>
      <c r="Y81" s="41" t="s">
        <v>100</v>
      </c>
      <c r="AI81" s="6">
        <f>SUM(Z82:Z82)</f>
        <v>0</v>
      </c>
      <c r="AJ81" s="6">
        <f>SUM(AA82:AA82)</f>
        <v>0</v>
      </c>
      <c r="AK81" s="6" t="e">
        <f>SUM(AB82:AB82)</f>
        <v>#REF!</v>
      </c>
    </row>
    <row r="82" spans="1:48" ht="12.75">
      <c r="A82" s="1" t="s">
        <v>59</v>
      </c>
      <c r="B82" s="1" t="s">
        <v>100</v>
      </c>
      <c r="C82" s="1" t="s">
        <v>163</v>
      </c>
      <c r="D82" s="1" t="s">
        <v>276</v>
      </c>
      <c r="E82" s="1" t="s">
        <v>331</v>
      </c>
      <c r="F82" s="3" t="e">
        <f>'01-BOURACÍ PRÁCE'!#REF!</f>
        <v>#REF!</v>
      </c>
      <c r="G82" s="3" t="e">
        <f>'01-BOURACÍ PRÁCE'!#REF!</f>
        <v>#REF!</v>
      </c>
      <c r="H82" s="3" t="e">
        <f>F82*AE82</f>
        <v>#REF!</v>
      </c>
      <c r="I82" s="3" t="e">
        <f>J82-H82</f>
        <v>#REF!</v>
      </c>
      <c r="J82" s="3" t="e">
        <f>F82*G82</f>
        <v>#REF!</v>
      </c>
      <c r="K82" s="3">
        <v>0</v>
      </c>
      <c r="L82" s="3" t="e">
        <f>F82*K82</f>
        <v>#REF!</v>
      </c>
      <c r="M82" s="46" t="s">
        <v>380</v>
      </c>
      <c r="P82" s="49" t="e">
        <f>IF(AG82="5",J82,0)</f>
        <v>#REF!</v>
      </c>
      <c r="R82" s="49">
        <f>IF(AG82="1",H82,0)</f>
        <v>0</v>
      </c>
      <c r="S82" s="49">
        <f>IF(AG82="1",I82,0)</f>
        <v>0</v>
      </c>
      <c r="T82" s="49">
        <f>IF(AG82="7",H82,0)</f>
        <v>0</v>
      </c>
      <c r="U82" s="49">
        <f>IF(AG82="7",I82,0)</f>
        <v>0</v>
      </c>
      <c r="V82" s="49">
        <f>IF(AG82="2",H82,0)</f>
        <v>0</v>
      </c>
      <c r="W82" s="49">
        <f>IF(AG82="2",I82,0)</f>
        <v>0</v>
      </c>
      <c r="X82" s="49">
        <f>IF(AG82="0",J82,0)</f>
        <v>0</v>
      </c>
      <c r="Y82" s="41" t="s">
        <v>100</v>
      </c>
      <c r="Z82" s="3">
        <f>IF(AD82=0,J82,0)</f>
        <v>0</v>
      </c>
      <c r="AA82" s="3">
        <f>IF(AD82=15,J82,0)</f>
        <v>0</v>
      </c>
      <c r="AB82" s="3" t="e">
        <f>IF(AD82=21,J82,0)</f>
        <v>#REF!</v>
      </c>
      <c r="AD82" s="49">
        <v>21</v>
      </c>
      <c r="AE82" s="49" t="e">
        <f>G82*0</f>
        <v>#REF!</v>
      </c>
      <c r="AF82" s="49" t="e">
        <f>G82*(1-0)</f>
        <v>#REF!</v>
      </c>
      <c r="AG82" s="46" t="s">
        <v>11</v>
      </c>
      <c r="AM82" s="49" t="e">
        <f>F82*AE82</f>
        <v>#REF!</v>
      </c>
      <c r="AN82" s="49" t="e">
        <f>F82*AF82</f>
        <v>#REF!</v>
      </c>
      <c r="AO82" s="50" t="s">
        <v>404</v>
      </c>
      <c r="AP82" s="50" t="s">
        <v>416</v>
      </c>
      <c r="AQ82" s="41" t="s">
        <v>421</v>
      </c>
      <c r="AS82" s="49" t="e">
        <f>AM82+AN82</f>
        <v>#REF!</v>
      </c>
      <c r="AT82" s="49" t="e">
        <f>G82/(100-AU82)*100</f>
        <v>#REF!</v>
      </c>
      <c r="AU82" s="49">
        <v>0</v>
      </c>
      <c r="AV82" s="49" t="e">
        <f>L82</f>
        <v>#REF!</v>
      </c>
    </row>
    <row r="83" spans="1:13" ht="12.75">
      <c r="A83" s="25"/>
      <c r="B83" s="32" t="s">
        <v>101</v>
      </c>
      <c r="C83" s="32"/>
      <c r="D83" s="32" t="s">
        <v>277</v>
      </c>
      <c r="E83" s="25" t="s">
        <v>6</v>
      </c>
      <c r="F83" s="25" t="s">
        <v>6</v>
      </c>
      <c r="G83" s="25" t="s">
        <v>6</v>
      </c>
      <c r="H83" s="52" t="e">
        <f>H84+H92+H105+H115+H117</f>
        <v>#REF!</v>
      </c>
      <c r="I83" s="52" t="e">
        <f>I84+I92+I105+I115+I117</f>
        <v>#REF!</v>
      </c>
      <c r="J83" s="52" t="e">
        <f>H83+I83</f>
        <v>#REF!</v>
      </c>
      <c r="K83" s="42"/>
      <c r="L83" s="52" t="e">
        <f>L84+L92+L105+L115+L117</f>
        <v>#REF!</v>
      </c>
      <c r="M83" s="42"/>
    </row>
    <row r="84" spans="1:37" ht="12.75">
      <c r="A84" s="24"/>
      <c r="B84" s="31" t="s">
        <v>101</v>
      </c>
      <c r="C84" s="31" t="s">
        <v>164</v>
      </c>
      <c r="D84" s="31" t="s">
        <v>278</v>
      </c>
      <c r="E84" s="24" t="s">
        <v>6</v>
      </c>
      <c r="F84" s="24" t="s">
        <v>6</v>
      </c>
      <c r="G84" s="24" t="s">
        <v>6</v>
      </c>
      <c r="H84" s="6" t="e">
        <f>SUM(H85:H91)</f>
        <v>#REF!</v>
      </c>
      <c r="I84" s="6" t="e">
        <f>SUM(I85:I91)</f>
        <v>#REF!</v>
      </c>
      <c r="J84" s="6" t="e">
        <f>H84+I84</f>
        <v>#REF!</v>
      </c>
      <c r="K84" s="41"/>
      <c r="L84" s="6" t="e">
        <f>SUM(L85:L91)</f>
        <v>#REF!</v>
      </c>
      <c r="M84" s="41"/>
      <c r="Y84" s="41" t="s">
        <v>101</v>
      </c>
      <c r="AI84" s="6">
        <f>SUM(Z85:Z91)</f>
        <v>0</v>
      </c>
      <c r="AJ84" s="6">
        <f>SUM(AA85:AA91)</f>
        <v>0</v>
      </c>
      <c r="AK84" s="6" t="e">
        <f>SUM(AB85:AB91)</f>
        <v>#REF!</v>
      </c>
    </row>
    <row r="85" spans="1:48" ht="12.75">
      <c r="A85" s="1" t="s">
        <v>60</v>
      </c>
      <c r="B85" s="1" t="s">
        <v>101</v>
      </c>
      <c r="C85" s="1" t="s">
        <v>165</v>
      </c>
      <c r="D85" s="1" t="s">
        <v>279</v>
      </c>
      <c r="E85" s="1" t="s">
        <v>328</v>
      </c>
      <c r="F85" s="3" t="e">
        <f>'01-BOURACÍ PRÁCE'!#REF!</f>
        <v>#REF!</v>
      </c>
      <c r="G85" s="3" t="e">
        <f>'01-BOURACÍ PRÁCE'!#REF!</f>
        <v>#REF!</v>
      </c>
      <c r="H85" s="3" t="e">
        <f aca="true" t="shared" si="42" ref="H85:H91">F85*AE85</f>
        <v>#REF!</v>
      </c>
      <c r="I85" s="3" t="e">
        <f aca="true" t="shared" si="43" ref="I85:I91">J85-H85</f>
        <v>#REF!</v>
      </c>
      <c r="J85" s="3" t="e">
        <f aca="true" t="shared" si="44" ref="J85:J91">F85*G85</f>
        <v>#REF!</v>
      </c>
      <c r="K85" s="3">
        <v>0.00038</v>
      </c>
      <c r="L85" s="3" t="e">
        <f aca="true" t="shared" si="45" ref="L85:L91">F85*K85</f>
        <v>#REF!</v>
      </c>
      <c r="M85" s="46" t="s">
        <v>380</v>
      </c>
      <c r="P85" s="49">
        <f aca="true" t="shared" si="46" ref="P85:P91">IF(AG85="5",J85,0)</f>
        <v>0</v>
      </c>
      <c r="R85" s="49">
        <f aca="true" t="shared" si="47" ref="R85:R91">IF(AG85="1",H85,0)</f>
        <v>0</v>
      </c>
      <c r="S85" s="49">
        <f aca="true" t="shared" si="48" ref="S85:S91">IF(AG85="1",I85,0)</f>
        <v>0</v>
      </c>
      <c r="T85" s="49" t="e">
        <f aca="true" t="shared" si="49" ref="T85:T91">IF(AG85="7",H85,0)</f>
        <v>#REF!</v>
      </c>
      <c r="U85" s="49" t="e">
        <f aca="true" t="shared" si="50" ref="U85:U91">IF(AG85="7",I85,0)</f>
        <v>#REF!</v>
      </c>
      <c r="V85" s="49">
        <f aca="true" t="shared" si="51" ref="V85:V91">IF(AG85="2",H85,0)</f>
        <v>0</v>
      </c>
      <c r="W85" s="49">
        <f aca="true" t="shared" si="52" ref="W85:W91">IF(AG85="2",I85,0)</f>
        <v>0</v>
      </c>
      <c r="X85" s="49">
        <f aca="true" t="shared" si="53" ref="X85:X91">IF(AG85="0",J85,0)</f>
        <v>0</v>
      </c>
      <c r="Y85" s="41" t="s">
        <v>101</v>
      </c>
      <c r="Z85" s="3">
        <f aca="true" t="shared" si="54" ref="Z85:Z91">IF(AD85=0,J85,0)</f>
        <v>0</v>
      </c>
      <c r="AA85" s="3">
        <f aca="true" t="shared" si="55" ref="AA85:AA91">IF(AD85=15,J85,0)</f>
        <v>0</v>
      </c>
      <c r="AB85" s="3" t="e">
        <f aca="true" t="shared" si="56" ref="AB85:AB91">IF(AD85=21,J85,0)</f>
        <v>#REF!</v>
      </c>
      <c r="AD85" s="49">
        <v>21</v>
      </c>
      <c r="AE85" s="49" t="e">
        <f>G85*0.335443474888501</f>
        <v>#REF!</v>
      </c>
      <c r="AF85" s="49" t="e">
        <f>G85*(1-0.335443474888501)</f>
        <v>#REF!</v>
      </c>
      <c r="AG85" s="46" t="s">
        <v>13</v>
      </c>
      <c r="AM85" s="49" t="e">
        <f aca="true" t="shared" si="57" ref="AM85:AM91">F85*AE85</f>
        <v>#REF!</v>
      </c>
      <c r="AN85" s="49" t="e">
        <f aca="true" t="shared" si="58" ref="AN85:AN91">F85*AF85</f>
        <v>#REF!</v>
      </c>
      <c r="AO85" s="50" t="s">
        <v>405</v>
      </c>
      <c r="AP85" s="50" t="s">
        <v>417</v>
      </c>
      <c r="AQ85" s="41" t="s">
        <v>422</v>
      </c>
      <c r="AS85" s="49" t="e">
        <f aca="true" t="shared" si="59" ref="AS85:AS91">AM85+AN85</f>
        <v>#REF!</v>
      </c>
      <c r="AT85" s="49" t="e">
        <f aca="true" t="shared" si="60" ref="AT85:AT91">G85/(100-AU85)*100</f>
        <v>#REF!</v>
      </c>
      <c r="AU85" s="49">
        <v>0</v>
      </c>
      <c r="AV85" s="49" t="e">
        <f aca="true" t="shared" si="61" ref="AV85:AV91">L85</f>
        <v>#REF!</v>
      </c>
    </row>
    <row r="86" spans="1:48" ht="12.75">
      <c r="A86" s="1" t="s">
        <v>61</v>
      </c>
      <c r="B86" s="1" t="s">
        <v>101</v>
      </c>
      <c r="C86" s="1" t="s">
        <v>166</v>
      </c>
      <c r="D86" s="1" t="s">
        <v>280</v>
      </c>
      <c r="E86" s="1" t="s">
        <v>326</v>
      </c>
      <c r="F86" s="3" t="e">
        <f>'01-BOURACÍ PRÁCE'!#REF!</f>
        <v>#REF!</v>
      </c>
      <c r="G86" s="3" t="e">
        <f>'01-BOURACÍ PRÁCE'!#REF!</f>
        <v>#REF!</v>
      </c>
      <c r="H86" s="3" t="e">
        <f t="shared" si="42"/>
        <v>#REF!</v>
      </c>
      <c r="I86" s="3" t="e">
        <f t="shared" si="43"/>
        <v>#REF!</v>
      </c>
      <c r="J86" s="3" t="e">
        <f t="shared" si="44"/>
        <v>#REF!</v>
      </c>
      <c r="K86" s="3">
        <v>0</v>
      </c>
      <c r="L86" s="3" t="e">
        <f t="shared" si="45"/>
        <v>#REF!</v>
      </c>
      <c r="M86" s="46" t="s">
        <v>380</v>
      </c>
      <c r="P86" s="49">
        <f t="shared" si="46"/>
        <v>0</v>
      </c>
      <c r="R86" s="49">
        <f t="shared" si="47"/>
        <v>0</v>
      </c>
      <c r="S86" s="49">
        <f t="shared" si="48"/>
        <v>0</v>
      </c>
      <c r="T86" s="49" t="e">
        <f t="shared" si="49"/>
        <v>#REF!</v>
      </c>
      <c r="U86" s="49" t="e">
        <f t="shared" si="50"/>
        <v>#REF!</v>
      </c>
      <c r="V86" s="49">
        <f t="shared" si="51"/>
        <v>0</v>
      </c>
      <c r="W86" s="49">
        <f t="shared" si="52"/>
        <v>0</v>
      </c>
      <c r="X86" s="49">
        <f t="shared" si="53"/>
        <v>0</v>
      </c>
      <c r="Y86" s="41" t="s">
        <v>101</v>
      </c>
      <c r="Z86" s="3">
        <f t="shared" si="54"/>
        <v>0</v>
      </c>
      <c r="AA86" s="3">
        <f t="shared" si="55"/>
        <v>0</v>
      </c>
      <c r="AB86" s="3" t="e">
        <f t="shared" si="56"/>
        <v>#REF!</v>
      </c>
      <c r="AD86" s="49">
        <v>21</v>
      </c>
      <c r="AE86" s="49" t="e">
        <f>G86*0</f>
        <v>#REF!</v>
      </c>
      <c r="AF86" s="49" t="e">
        <f>G86*(1-0)</f>
        <v>#REF!</v>
      </c>
      <c r="AG86" s="46" t="s">
        <v>13</v>
      </c>
      <c r="AM86" s="49" t="e">
        <f t="shared" si="57"/>
        <v>#REF!</v>
      </c>
      <c r="AN86" s="49" t="e">
        <f t="shared" si="58"/>
        <v>#REF!</v>
      </c>
      <c r="AO86" s="50" t="s">
        <v>405</v>
      </c>
      <c r="AP86" s="50" t="s">
        <v>417</v>
      </c>
      <c r="AQ86" s="41" t="s">
        <v>422</v>
      </c>
      <c r="AS86" s="49" t="e">
        <f t="shared" si="59"/>
        <v>#REF!</v>
      </c>
      <c r="AT86" s="49" t="e">
        <f t="shared" si="60"/>
        <v>#REF!</v>
      </c>
      <c r="AU86" s="49">
        <v>0</v>
      </c>
      <c r="AV86" s="49" t="e">
        <f t="shared" si="61"/>
        <v>#REF!</v>
      </c>
    </row>
    <row r="87" spans="1:48" ht="12.75">
      <c r="A87" s="1" t="s">
        <v>62</v>
      </c>
      <c r="B87" s="1" t="s">
        <v>101</v>
      </c>
      <c r="C87" s="1" t="s">
        <v>167</v>
      </c>
      <c r="D87" s="1" t="s">
        <v>281</v>
      </c>
      <c r="E87" s="1" t="s">
        <v>326</v>
      </c>
      <c r="F87" s="3" t="e">
        <f>'01-BOURACÍ PRÁCE'!#REF!</f>
        <v>#REF!</v>
      </c>
      <c r="G87" s="3" t="e">
        <f>'01-BOURACÍ PRÁCE'!#REF!</f>
        <v>#REF!</v>
      </c>
      <c r="H87" s="3" t="e">
        <f t="shared" si="42"/>
        <v>#REF!</v>
      </c>
      <c r="I87" s="3" t="e">
        <f t="shared" si="43"/>
        <v>#REF!</v>
      </c>
      <c r="J87" s="3" t="e">
        <f t="shared" si="44"/>
        <v>#REF!</v>
      </c>
      <c r="K87" s="3">
        <v>0</v>
      </c>
      <c r="L87" s="3" t="e">
        <f t="shared" si="45"/>
        <v>#REF!</v>
      </c>
      <c r="M87" s="46" t="s">
        <v>380</v>
      </c>
      <c r="P87" s="49">
        <f t="shared" si="46"/>
        <v>0</v>
      </c>
      <c r="R87" s="49">
        <f t="shared" si="47"/>
        <v>0</v>
      </c>
      <c r="S87" s="49">
        <f t="shared" si="48"/>
        <v>0</v>
      </c>
      <c r="T87" s="49" t="e">
        <f t="shared" si="49"/>
        <v>#REF!</v>
      </c>
      <c r="U87" s="49" t="e">
        <f t="shared" si="50"/>
        <v>#REF!</v>
      </c>
      <c r="V87" s="49">
        <f t="shared" si="51"/>
        <v>0</v>
      </c>
      <c r="W87" s="49">
        <f t="shared" si="52"/>
        <v>0</v>
      </c>
      <c r="X87" s="49">
        <f t="shared" si="53"/>
        <v>0</v>
      </c>
      <c r="Y87" s="41" t="s">
        <v>101</v>
      </c>
      <c r="Z87" s="3">
        <f t="shared" si="54"/>
        <v>0</v>
      </c>
      <c r="AA87" s="3">
        <f t="shared" si="55"/>
        <v>0</v>
      </c>
      <c r="AB87" s="3" t="e">
        <f t="shared" si="56"/>
        <v>#REF!</v>
      </c>
      <c r="AD87" s="49">
        <v>21</v>
      </c>
      <c r="AE87" s="49" t="e">
        <f>G87*1</f>
        <v>#REF!</v>
      </c>
      <c r="AF87" s="49" t="e">
        <f>G87*(1-1)</f>
        <v>#REF!</v>
      </c>
      <c r="AG87" s="46" t="s">
        <v>13</v>
      </c>
      <c r="AM87" s="49" t="e">
        <f t="shared" si="57"/>
        <v>#REF!</v>
      </c>
      <c r="AN87" s="49" t="e">
        <f t="shared" si="58"/>
        <v>#REF!</v>
      </c>
      <c r="AO87" s="50" t="s">
        <v>405</v>
      </c>
      <c r="AP87" s="50" t="s">
        <v>417</v>
      </c>
      <c r="AQ87" s="41" t="s">
        <v>422</v>
      </c>
      <c r="AS87" s="49" t="e">
        <f t="shared" si="59"/>
        <v>#REF!</v>
      </c>
      <c r="AT87" s="49" t="e">
        <f t="shared" si="60"/>
        <v>#REF!</v>
      </c>
      <c r="AU87" s="49">
        <v>0</v>
      </c>
      <c r="AV87" s="49" t="e">
        <f t="shared" si="61"/>
        <v>#REF!</v>
      </c>
    </row>
    <row r="88" spans="1:48" ht="12.75">
      <c r="A88" s="1" t="s">
        <v>63</v>
      </c>
      <c r="B88" s="1" t="s">
        <v>101</v>
      </c>
      <c r="C88" s="1" t="s">
        <v>168</v>
      </c>
      <c r="D88" s="1" t="s">
        <v>282</v>
      </c>
      <c r="E88" s="1" t="s">
        <v>331</v>
      </c>
      <c r="F88" s="3" t="e">
        <f>'01-BOURACÍ PRÁCE'!#REF!</f>
        <v>#REF!</v>
      </c>
      <c r="G88" s="3" t="e">
        <f>'01-BOURACÍ PRÁCE'!#REF!</f>
        <v>#REF!</v>
      </c>
      <c r="H88" s="3" t="e">
        <f t="shared" si="42"/>
        <v>#REF!</v>
      </c>
      <c r="I88" s="3" t="e">
        <f t="shared" si="43"/>
        <v>#REF!</v>
      </c>
      <c r="J88" s="3" t="e">
        <f t="shared" si="44"/>
        <v>#REF!</v>
      </c>
      <c r="K88" s="3">
        <v>0</v>
      </c>
      <c r="L88" s="3" t="e">
        <f t="shared" si="45"/>
        <v>#REF!</v>
      </c>
      <c r="M88" s="46" t="s">
        <v>380</v>
      </c>
      <c r="P88" s="49" t="e">
        <f t="shared" si="46"/>
        <v>#REF!</v>
      </c>
      <c r="R88" s="49">
        <f t="shared" si="47"/>
        <v>0</v>
      </c>
      <c r="S88" s="49">
        <f t="shared" si="48"/>
        <v>0</v>
      </c>
      <c r="T88" s="49">
        <f t="shared" si="49"/>
        <v>0</v>
      </c>
      <c r="U88" s="49">
        <f t="shared" si="50"/>
        <v>0</v>
      </c>
      <c r="V88" s="49">
        <f t="shared" si="51"/>
        <v>0</v>
      </c>
      <c r="W88" s="49">
        <f t="shared" si="52"/>
        <v>0</v>
      </c>
      <c r="X88" s="49">
        <f t="shared" si="53"/>
        <v>0</v>
      </c>
      <c r="Y88" s="41" t="s">
        <v>101</v>
      </c>
      <c r="Z88" s="3">
        <f t="shared" si="54"/>
        <v>0</v>
      </c>
      <c r="AA88" s="3">
        <f t="shared" si="55"/>
        <v>0</v>
      </c>
      <c r="AB88" s="3" t="e">
        <f t="shared" si="56"/>
        <v>#REF!</v>
      </c>
      <c r="AD88" s="49">
        <v>21</v>
      </c>
      <c r="AE88" s="49" t="e">
        <f>G88*0</f>
        <v>#REF!</v>
      </c>
      <c r="AF88" s="49" t="e">
        <f>G88*(1-0)</f>
        <v>#REF!</v>
      </c>
      <c r="AG88" s="46" t="s">
        <v>11</v>
      </c>
      <c r="AM88" s="49" t="e">
        <f t="shared" si="57"/>
        <v>#REF!</v>
      </c>
      <c r="AN88" s="49" t="e">
        <f t="shared" si="58"/>
        <v>#REF!</v>
      </c>
      <c r="AO88" s="50" t="s">
        <v>405</v>
      </c>
      <c r="AP88" s="50" t="s">
        <v>417</v>
      </c>
      <c r="AQ88" s="41" t="s">
        <v>422</v>
      </c>
      <c r="AS88" s="49" t="e">
        <f t="shared" si="59"/>
        <v>#REF!</v>
      </c>
      <c r="AT88" s="49" t="e">
        <f t="shared" si="60"/>
        <v>#REF!</v>
      </c>
      <c r="AU88" s="49">
        <v>0</v>
      </c>
      <c r="AV88" s="49" t="e">
        <f t="shared" si="61"/>
        <v>#REF!</v>
      </c>
    </row>
    <row r="89" spans="1:48" ht="12.75">
      <c r="A89" s="1" t="s">
        <v>64</v>
      </c>
      <c r="B89" s="1" t="s">
        <v>101</v>
      </c>
      <c r="C89" s="1" t="s">
        <v>169</v>
      </c>
      <c r="D89" s="1" t="s">
        <v>283</v>
      </c>
      <c r="E89" s="1" t="s">
        <v>328</v>
      </c>
      <c r="F89" s="3" t="e">
        <f>'01-BOURACÍ PRÁCE'!#REF!</f>
        <v>#REF!</v>
      </c>
      <c r="G89" s="3" t="e">
        <f>'01-BOURACÍ PRÁCE'!#REF!</f>
        <v>#REF!</v>
      </c>
      <c r="H89" s="3" t="e">
        <f t="shared" si="42"/>
        <v>#REF!</v>
      </c>
      <c r="I89" s="3" t="e">
        <f t="shared" si="43"/>
        <v>#REF!</v>
      </c>
      <c r="J89" s="3" t="e">
        <f t="shared" si="44"/>
        <v>#REF!</v>
      </c>
      <c r="K89" s="3">
        <v>0.00047</v>
      </c>
      <c r="L89" s="3" t="e">
        <f t="shared" si="45"/>
        <v>#REF!</v>
      </c>
      <c r="M89" s="46" t="s">
        <v>380</v>
      </c>
      <c r="P89" s="49">
        <f t="shared" si="46"/>
        <v>0</v>
      </c>
      <c r="R89" s="49">
        <f t="shared" si="47"/>
        <v>0</v>
      </c>
      <c r="S89" s="49">
        <f t="shared" si="48"/>
        <v>0</v>
      </c>
      <c r="T89" s="49" t="e">
        <f t="shared" si="49"/>
        <v>#REF!</v>
      </c>
      <c r="U89" s="49" t="e">
        <f t="shared" si="50"/>
        <v>#REF!</v>
      </c>
      <c r="V89" s="49">
        <f t="shared" si="51"/>
        <v>0</v>
      </c>
      <c r="W89" s="49">
        <f t="shared" si="52"/>
        <v>0</v>
      </c>
      <c r="X89" s="49">
        <f t="shared" si="53"/>
        <v>0</v>
      </c>
      <c r="Y89" s="41" t="s">
        <v>101</v>
      </c>
      <c r="Z89" s="3">
        <f t="shared" si="54"/>
        <v>0</v>
      </c>
      <c r="AA89" s="3">
        <f t="shared" si="55"/>
        <v>0</v>
      </c>
      <c r="AB89" s="3" t="e">
        <f t="shared" si="56"/>
        <v>#REF!</v>
      </c>
      <c r="AD89" s="49">
        <v>21</v>
      </c>
      <c r="AE89" s="49" t="e">
        <f>G89*0.319263827704356</f>
        <v>#REF!</v>
      </c>
      <c r="AF89" s="49" t="e">
        <f>G89*(1-0.319263827704356)</f>
        <v>#REF!</v>
      </c>
      <c r="AG89" s="46" t="s">
        <v>13</v>
      </c>
      <c r="AM89" s="49" t="e">
        <f t="shared" si="57"/>
        <v>#REF!</v>
      </c>
      <c r="AN89" s="49" t="e">
        <f t="shared" si="58"/>
        <v>#REF!</v>
      </c>
      <c r="AO89" s="50" t="s">
        <v>405</v>
      </c>
      <c r="AP89" s="50" t="s">
        <v>417</v>
      </c>
      <c r="AQ89" s="41" t="s">
        <v>422</v>
      </c>
      <c r="AS89" s="49" t="e">
        <f t="shared" si="59"/>
        <v>#REF!</v>
      </c>
      <c r="AT89" s="49" t="e">
        <f t="shared" si="60"/>
        <v>#REF!</v>
      </c>
      <c r="AU89" s="49">
        <v>0</v>
      </c>
      <c r="AV89" s="49" t="e">
        <f t="shared" si="61"/>
        <v>#REF!</v>
      </c>
    </row>
    <row r="90" spans="1:48" ht="12.75">
      <c r="A90" s="1" t="s">
        <v>65</v>
      </c>
      <c r="B90" s="1" t="s">
        <v>101</v>
      </c>
      <c r="C90" s="1" t="s">
        <v>170</v>
      </c>
      <c r="D90" s="1" t="s">
        <v>284</v>
      </c>
      <c r="E90" s="1" t="s">
        <v>328</v>
      </c>
      <c r="F90" s="3" t="e">
        <f>'01-BOURACÍ PRÁCE'!#REF!</f>
        <v>#REF!</v>
      </c>
      <c r="G90" s="3" t="e">
        <f>'01-BOURACÍ PRÁCE'!#REF!</f>
        <v>#REF!</v>
      </c>
      <c r="H90" s="3" t="e">
        <f t="shared" si="42"/>
        <v>#REF!</v>
      </c>
      <c r="I90" s="3" t="e">
        <f t="shared" si="43"/>
        <v>#REF!</v>
      </c>
      <c r="J90" s="3" t="e">
        <f t="shared" si="44"/>
        <v>#REF!</v>
      </c>
      <c r="K90" s="3">
        <v>0.0021</v>
      </c>
      <c r="L90" s="3" t="e">
        <f t="shared" si="45"/>
        <v>#REF!</v>
      </c>
      <c r="M90" s="46" t="s">
        <v>380</v>
      </c>
      <c r="P90" s="49">
        <f t="shared" si="46"/>
        <v>0</v>
      </c>
      <c r="R90" s="49">
        <f t="shared" si="47"/>
        <v>0</v>
      </c>
      <c r="S90" s="49">
        <f t="shared" si="48"/>
        <v>0</v>
      </c>
      <c r="T90" s="49" t="e">
        <f t="shared" si="49"/>
        <v>#REF!</v>
      </c>
      <c r="U90" s="49" t="e">
        <f t="shared" si="50"/>
        <v>#REF!</v>
      </c>
      <c r="V90" s="49">
        <f t="shared" si="51"/>
        <v>0</v>
      </c>
      <c r="W90" s="49">
        <f t="shared" si="52"/>
        <v>0</v>
      </c>
      <c r="X90" s="49">
        <f t="shared" si="53"/>
        <v>0</v>
      </c>
      <c r="Y90" s="41" t="s">
        <v>101</v>
      </c>
      <c r="Z90" s="3">
        <f t="shared" si="54"/>
        <v>0</v>
      </c>
      <c r="AA90" s="3">
        <f t="shared" si="55"/>
        <v>0</v>
      </c>
      <c r="AB90" s="3" t="e">
        <f t="shared" si="56"/>
        <v>#REF!</v>
      </c>
      <c r="AD90" s="49">
        <v>21</v>
      </c>
      <c r="AE90" s="49" t="e">
        <f>G90*0.385046382189239</f>
        <v>#REF!</v>
      </c>
      <c r="AF90" s="49" t="e">
        <f>G90*(1-0.385046382189239)</f>
        <v>#REF!</v>
      </c>
      <c r="AG90" s="46" t="s">
        <v>13</v>
      </c>
      <c r="AM90" s="49" t="e">
        <f t="shared" si="57"/>
        <v>#REF!</v>
      </c>
      <c r="AN90" s="49" t="e">
        <f t="shared" si="58"/>
        <v>#REF!</v>
      </c>
      <c r="AO90" s="50" t="s">
        <v>405</v>
      </c>
      <c r="AP90" s="50" t="s">
        <v>417</v>
      </c>
      <c r="AQ90" s="41" t="s">
        <v>422</v>
      </c>
      <c r="AS90" s="49" t="e">
        <f t="shared" si="59"/>
        <v>#REF!</v>
      </c>
      <c r="AT90" s="49" t="e">
        <f t="shared" si="60"/>
        <v>#REF!</v>
      </c>
      <c r="AU90" s="49">
        <v>0</v>
      </c>
      <c r="AV90" s="49" t="e">
        <f t="shared" si="61"/>
        <v>#REF!</v>
      </c>
    </row>
    <row r="91" spans="1:48" ht="12.75">
      <c r="A91" s="1" t="s">
        <v>66</v>
      </c>
      <c r="B91" s="1" t="s">
        <v>101</v>
      </c>
      <c r="C91" s="1" t="s">
        <v>171</v>
      </c>
      <c r="D91" s="1" t="s">
        <v>285</v>
      </c>
      <c r="E91" s="1" t="s">
        <v>326</v>
      </c>
      <c r="F91" s="3" t="e">
        <f>'01-BOURACÍ PRÁCE'!#REF!</f>
        <v>#REF!</v>
      </c>
      <c r="G91" s="3" t="e">
        <f>'01-BOURACÍ PRÁCE'!#REF!</f>
        <v>#REF!</v>
      </c>
      <c r="H91" s="3" t="e">
        <f t="shared" si="42"/>
        <v>#REF!</v>
      </c>
      <c r="I91" s="3" t="e">
        <f t="shared" si="43"/>
        <v>#REF!</v>
      </c>
      <c r="J91" s="3" t="e">
        <f t="shared" si="44"/>
        <v>#REF!</v>
      </c>
      <c r="K91" s="3">
        <v>0</v>
      </c>
      <c r="L91" s="3" t="e">
        <f t="shared" si="45"/>
        <v>#REF!</v>
      </c>
      <c r="M91" s="46" t="s">
        <v>380</v>
      </c>
      <c r="P91" s="49">
        <f t="shared" si="46"/>
        <v>0</v>
      </c>
      <c r="R91" s="49">
        <f t="shared" si="47"/>
        <v>0</v>
      </c>
      <c r="S91" s="49">
        <f t="shared" si="48"/>
        <v>0</v>
      </c>
      <c r="T91" s="49" t="e">
        <f t="shared" si="49"/>
        <v>#REF!</v>
      </c>
      <c r="U91" s="49" t="e">
        <f t="shared" si="50"/>
        <v>#REF!</v>
      </c>
      <c r="V91" s="49">
        <f t="shared" si="51"/>
        <v>0</v>
      </c>
      <c r="W91" s="49">
        <f t="shared" si="52"/>
        <v>0</v>
      </c>
      <c r="X91" s="49">
        <f t="shared" si="53"/>
        <v>0</v>
      </c>
      <c r="Y91" s="41" t="s">
        <v>101</v>
      </c>
      <c r="Z91" s="3">
        <f t="shared" si="54"/>
        <v>0</v>
      </c>
      <c r="AA91" s="3">
        <f t="shared" si="55"/>
        <v>0</v>
      </c>
      <c r="AB91" s="3" t="e">
        <f t="shared" si="56"/>
        <v>#REF!</v>
      </c>
      <c r="AD91" s="49">
        <v>21</v>
      </c>
      <c r="AE91" s="49" t="e">
        <f>G91*0</f>
        <v>#REF!</v>
      </c>
      <c r="AF91" s="49" t="e">
        <f>G91*(1-0)</f>
        <v>#REF!</v>
      </c>
      <c r="AG91" s="46" t="s">
        <v>13</v>
      </c>
      <c r="AM91" s="49" t="e">
        <f t="shared" si="57"/>
        <v>#REF!</v>
      </c>
      <c r="AN91" s="49" t="e">
        <f t="shared" si="58"/>
        <v>#REF!</v>
      </c>
      <c r="AO91" s="50" t="s">
        <v>405</v>
      </c>
      <c r="AP91" s="50" t="s">
        <v>417</v>
      </c>
      <c r="AQ91" s="41" t="s">
        <v>422</v>
      </c>
      <c r="AS91" s="49" t="e">
        <f t="shared" si="59"/>
        <v>#REF!</v>
      </c>
      <c r="AT91" s="49" t="e">
        <f t="shared" si="60"/>
        <v>#REF!</v>
      </c>
      <c r="AU91" s="49">
        <v>0</v>
      </c>
      <c r="AV91" s="49" t="e">
        <f t="shared" si="61"/>
        <v>#REF!</v>
      </c>
    </row>
    <row r="92" spans="1:37" ht="12.75">
      <c r="A92" s="24"/>
      <c r="B92" s="31" t="s">
        <v>101</v>
      </c>
      <c r="C92" s="31" t="s">
        <v>172</v>
      </c>
      <c r="D92" s="31" t="s">
        <v>286</v>
      </c>
      <c r="E92" s="24" t="s">
        <v>6</v>
      </c>
      <c r="F92" s="24" t="s">
        <v>6</v>
      </c>
      <c r="G92" s="24" t="s">
        <v>6</v>
      </c>
      <c r="H92" s="6" t="e">
        <f>SUM(H93:H104)</f>
        <v>#REF!</v>
      </c>
      <c r="I92" s="6" t="e">
        <f>SUM(I93:I104)</f>
        <v>#REF!</v>
      </c>
      <c r="J92" s="6" t="e">
        <f>H92+I92</f>
        <v>#REF!</v>
      </c>
      <c r="K92" s="41"/>
      <c r="L92" s="6" t="e">
        <f>SUM(L93:L104)</f>
        <v>#REF!</v>
      </c>
      <c r="M92" s="41"/>
      <c r="Y92" s="41" t="s">
        <v>101</v>
      </c>
      <c r="AI92" s="6">
        <f>SUM(Z93:Z104)</f>
        <v>0</v>
      </c>
      <c r="AJ92" s="6">
        <f>SUM(AA93:AA104)</f>
        <v>0</v>
      </c>
      <c r="AK92" s="6" t="e">
        <f>SUM(AB93:AB104)</f>
        <v>#REF!</v>
      </c>
    </row>
    <row r="93" spans="1:48" ht="12.75">
      <c r="A93" s="1" t="s">
        <v>67</v>
      </c>
      <c r="B93" s="1" t="s">
        <v>101</v>
      </c>
      <c r="C93" s="1" t="s">
        <v>173</v>
      </c>
      <c r="D93" s="1" t="s">
        <v>287</v>
      </c>
      <c r="E93" s="1" t="s">
        <v>328</v>
      </c>
      <c r="F93" s="3" t="e">
        <f>'01-BOURACÍ PRÁCE'!#REF!</f>
        <v>#REF!</v>
      </c>
      <c r="G93" s="3" t="e">
        <f>'01-BOURACÍ PRÁCE'!#REF!</f>
        <v>#REF!</v>
      </c>
      <c r="H93" s="3" t="e">
        <f aca="true" t="shared" si="62" ref="H93:H104">F93*AE93</f>
        <v>#REF!</v>
      </c>
      <c r="I93" s="3" t="e">
        <f aca="true" t="shared" si="63" ref="I93:I104">J93-H93</f>
        <v>#REF!</v>
      </c>
      <c r="J93" s="3" t="e">
        <f aca="true" t="shared" si="64" ref="J93:J104">F93*G93</f>
        <v>#REF!</v>
      </c>
      <c r="K93" s="3">
        <v>5E-05</v>
      </c>
      <c r="L93" s="3" t="e">
        <f aca="true" t="shared" si="65" ref="L93:L104">F93*K93</f>
        <v>#REF!</v>
      </c>
      <c r="M93" s="46" t="s">
        <v>380</v>
      </c>
      <c r="P93" s="49">
        <f aca="true" t="shared" si="66" ref="P93:P104">IF(AG93="5",J93,0)</f>
        <v>0</v>
      </c>
      <c r="R93" s="49">
        <f aca="true" t="shared" si="67" ref="R93:R104">IF(AG93="1",H93,0)</f>
        <v>0</v>
      </c>
      <c r="S93" s="49">
        <f aca="true" t="shared" si="68" ref="S93:S104">IF(AG93="1",I93,0)</f>
        <v>0</v>
      </c>
      <c r="T93" s="49" t="e">
        <f aca="true" t="shared" si="69" ref="T93:T104">IF(AG93="7",H93,0)</f>
        <v>#REF!</v>
      </c>
      <c r="U93" s="49" t="e">
        <f aca="true" t="shared" si="70" ref="U93:U104">IF(AG93="7",I93,0)</f>
        <v>#REF!</v>
      </c>
      <c r="V93" s="49">
        <f aca="true" t="shared" si="71" ref="V93:V104">IF(AG93="2",H93,0)</f>
        <v>0</v>
      </c>
      <c r="W93" s="49">
        <f aca="true" t="shared" si="72" ref="W93:W104">IF(AG93="2",I93,0)</f>
        <v>0</v>
      </c>
      <c r="X93" s="49">
        <f aca="true" t="shared" si="73" ref="X93:X104">IF(AG93="0",J93,0)</f>
        <v>0</v>
      </c>
      <c r="Y93" s="41" t="s">
        <v>101</v>
      </c>
      <c r="Z93" s="3">
        <f aca="true" t="shared" si="74" ref="Z93:Z104">IF(AD93=0,J93,0)</f>
        <v>0</v>
      </c>
      <c r="AA93" s="3">
        <f aca="true" t="shared" si="75" ref="AA93:AA104">IF(AD93=15,J93,0)</f>
        <v>0</v>
      </c>
      <c r="AB93" s="3" t="e">
        <f aca="true" t="shared" si="76" ref="AB93:AB104">IF(AD93=21,J93,0)</f>
        <v>#REF!</v>
      </c>
      <c r="AD93" s="49">
        <v>21</v>
      </c>
      <c r="AE93" s="49" t="e">
        <f>G93*0.333960285021883</f>
        <v>#REF!</v>
      </c>
      <c r="AF93" s="49" t="e">
        <f>G93*(1-0.333960285021883)</f>
        <v>#REF!</v>
      </c>
      <c r="AG93" s="46" t="s">
        <v>13</v>
      </c>
      <c r="AM93" s="49" t="e">
        <f aca="true" t="shared" si="77" ref="AM93:AM104">F93*AE93</f>
        <v>#REF!</v>
      </c>
      <c r="AN93" s="49" t="e">
        <f aca="true" t="shared" si="78" ref="AN93:AN104">F93*AF93</f>
        <v>#REF!</v>
      </c>
      <c r="AO93" s="50" t="s">
        <v>406</v>
      </c>
      <c r="AP93" s="50" t="s">
        <v>417</v>
      </c>
      <c r="AQ93" s="41" t="s">
        <v>422</v>
      </c>
      <c r="AS93" s="49" t="e">
        <f aca="true" t="shared" si="79" ref="AS93:AS104">AM93+AN93</f>
        <v>#REF!</v>
      </c>
      <c r="AT93" s="49" t="e">
        <f aca="true" t="shared" si="80" ref="AT93:AT104">G93/(100-AU93)*100</f>
        <v>#REF!</v>
      </c>
      <c r="AU93" s="49">
        <v>0</v>
      </c>
      <c r="AV93" s="49" t="e">
        <f aca="true" t="shared" si="81" ref="AV93:AV104">L93</f>
        <v>#REF!</v>
      </c>
    </row>
    <row r="94" spans="1:48" ht="12.75">
      <c r="A94" s="1" t="s">
        <v>68</v>
      </c>
      <c r="B94" s="1" t="s">
        <v>101</v>
      </c>
      <c r="C94" s="1" t="s">
        <v>174</v>
      </c>
      <c r="D94" s="1" t="s">
        <v>288</v>
      </c>
      <c r="E94" s="1" t="s">
        <v>328</v>
      </c>
      <c r="F94" s="3" t="e">
        <f>'01-BOURACÍ PRÁCE'!#REF!</f>
        <v>#REF!</v>
      </c>
      <c r="G94" s="3" t="e">
        <f>'01-BOURACÍ PRÁCE'!#REF!</f>
        <v>#REF!</v>
      </c>
      <c r="H94" s="3" t="e">
        <f t="shared" si="62"/>
        <v>#REF!</v>
      </c>
      <c r="I94" s="3" t="e">
        <f t="shared" si="63"/>
        <v>#REF!</v>
      </c>
      <c r="J94" s="3" t="e">
        <f t="shared" si="64"/>
        <v>#REF!</v>
      </c>
      <c r="K94" s="3">
        <v>4E-05</v>
      </c>
      <c r="L94" s="3" t="e">
        <f t="shared" si="65"/>
        <v>#REF!</v>
      </c>
      <c r="M94" s="46" t="s">
        <v>380</v>
      </c>
      <c r="P94" s="49">
        <f t="shared" si="66"/>
        <v>0</v>
      </c>
      <c r="R94" s="49">
        <f t="shared" si="67"/>
        <v>0</v>
      </c>
      <c r="S94" s="49">
        <f t="shared" si="68"/>
        <v>0</v>
      </c>
      <c r="T94" s="49" t="e">
        <f t="shared" si="69"/>
        <v>#REF!</v>
      </c>
      <c r="U94" s="49" t="e">
        <f t="shared" si="70"/>
        <v>#REF!</v>
      </c>
      <c r="V94" s="49">
        <f t="shared" si="71"/>
        <v>0</v>
      </c>
      <c r="W94" s="49">
        <f t="shared" si="72"/>
        <v>0</v>
      </c>
      <c r="X94" s="49">
        <f t="shared" si="73"/>
        <v>0</v>
      </c>
      <c r="Y94" s="41" t="s">
        <v>101</v>
      </c>
      <c r="Z94" s="3">
        <f t="shared" si="74"/>
        <v>0</v>
      </c>
      <c r="AA94" s="3">
        <f t="shared" si="75"/>
        <v>0</v>
      </c>
      <c r="AB94" s="3" t="e">
        <f t="shared" si="76"/>
        <v>#REF!</v>
      </c>
      <c r="AD94" s="49">
        <v>21</v>
      </c>
      <c r="AE94" s="49" t="e">
        <f>G94*0.364228723404255</f>
        <v>#REF!</v>
      </c>
      <c r="AF94" s="49" t="e">
        <f>G94*(1-0.364228723404255)</f>
        <v>#REF!</v>
      </c>
      <c r="AG94" s="46" t="s">
        <v>13</v>
      </c>
      <c r="AM94" s="49" t="e">
        <f t="shared" si="77"/>
        <v>#REF!</v>
      </c>
      <c r="AN94" s="49" t="e">
        <f t="shared" si="78"/>
        <v>#REF!</v>
      </c>
      <c r="AO94" s="50" t="s">
        <v>406</v>
      </c>
      <c r="AP94" s="50" t="s">
        <v>417</v>
      </c>
      <c r="AQ94" s="41" t="s">
        <v>422</v>
      </c>
      <c r="AS94" s="49" t="e">
        <f t="shared" si="79"/>
        <v>#REF!</v>
      </c>
      <c r="AT94" s="49" t="e">
        <f t="shared" si="80"/>
        <v>#REF!</v>
      </c>
      <c r="AU94" s="49">
        <v>0</v>
      </c>
      <c r="AV94" s="49" t="e">
        <f t="shared" si="81"/>
        <v>#REF!</v>
      </c>
    </row>
    <row r="95" spans="1:48" ht="12.75">
      <c r="A95" s="1" t="s">
        <v>69</v>
      </c>
      <c r="B95" s="1" t="s">
        <v>101</v>
      </c>
      <c r="C95" s="1" t="s">
        <v>175</v>
      </c>
      <c r="D95" s="1" t="s">
        <v>289</v>
      </c>
      <c r="E95" s="1" t="s">
        <v>328</v>
      </c>
      <c r="F95" s="3" t="e">
        <f>'01-BOURACÍ PRÁCE'!#REF!</f>
        <v>#REF!</v>
      </c>
      <c r="G95" s="3" t="e">
        <f>'01-BOURACÍ PRÁCE'!#REF!</f>
        <v>#REF!</v>
      </c>
      <c r="H95" s="3" t="e">
        <f t="shared" si="62"/>
        <v>#REF!</v>
      </c>
      <c r="I95" s="3" t="e">
        <f t="shared" si="63"/>
        <v>#REF!</v>
      </c>
      <c r="J95" s="3" t="e">
        <f t="shared" si="64"/>
        <v>#REF!</v>
      </c>
      <c r="K95" s="3">
        <v>1E-05</v>
      </c>
      <c r="L95" s="3" t="e">
        <f t="shared" si="65"/>
        <v>#REF!</v>
      </c>
      <c r="M95" s="46" t="s">
        <v>380</v>
      </c>
      <c r="P95" s="49">
        <f t="shared" si="66"/>
        <v>0</v>
      </c>
      <c r="R95" s="49">
        <f t="shared" si="67"/>
        <v>0</v>
      </c>
      <c r="S95" s="49">
        <f t="shared" si="68"/>
        <v>0</v>
      </c>
      <c r="T95" s="49" t="e">
        <f t="shared" si="69"/>
        <v>#REF!</v>
      </c>
      <c r="U95" s="49" t="e">
        <f t="shared" si="70"/>
        <v>#REF!</v>
      </c>
      <c r="V95" s="49">
        <f t="shared" si="71"/>
        <v>0</v>
      </c>
      <c r="W95" s="49">
        <f t="shared" si="72"/>
        <v>0</v>
      </c>
      <c r="X95" s="49">
        <f t="shared" si="73"/>
        <v>0</v>
      </c>
      <c r="Y95" s="41" t="s">
        <v>101</v>
      </c>
      <c r="Z95" s="3">
        <f t="shared" si="74"/>
        <v>0</v>
      </c>
      <c r="AA95" s="3">
        <f t="shared" si="75"/>
        <v>0</v>
      </c>
      <c r="AB95" s="3" t="e">
        <f t="shared" si="76"/>
        <v>#REF!</v>
      </c>
      <c r="AD95" s="49">
        <v>21</v>
      </c>
      <c r="AE95" s="49" t="e">
        <f>G95*0.0535055350553506</f>
        <v>#REF!</v>
      </c>
      <c r="AF95" s="49" t="e">
        <f>G95*(1-0.0535055350553506)</f>
        <v>#REF!</v>
      </c>
      <c r="AG95" s="46" t="s">
        <v>13</v>
      </c>
      <c r="AM95" s="49" t="e">
        <f t="shared" si="77"/>
        <v>#REF!</v>
      </c>
      <c r="AN95" s="49" t="e">
        <f t="shared" si="78"/>
        <v>#REF!</v>
      </c>
      <c r="AO95" s="50" t="s">
        <v>406</v>
      </c>
      <c r="AP95" s="50" t="s">
        <v>417</v>
      </c>
      <c r="AQ95" s="41" t="s">
        <v>422</v>
      </c>
      <c r="AS95" s="49" t="e">
        <f t="shared" si="79"/>
        <v>#REF!</v>
      </c>
      <c r="AT95" s="49" t="e">
        <f t="shared" si="80"/>
        <v>#REF!</v>
      </c>
      <c r="AU95" s="49">
        <v>0</v>
      </c>
      <c r="AV95" s="49" t="e">
        <f t="shared" si="81"/>
        <v>#REF!</v>
      </c>
    </row>
    <row r="96" spans="1:48" ht="12.75">
      <c r="A96" s="1" t="s">
        <v>70</v>
      </c>
      <c r="B96" s="1" t="s">
        <v>101</v>
      </c>
      <c r="C96" s="1" t="s">
        <v>176</v>
      </c>
      <c r="D96" s="1" t="s">
        <v>290</v>
      </c>
      <c r="E96" s="1" t="s">
        <v>328</v>
      </c>
      <c r="F96" s="3" t="e">
        <f>'01-BOURACÍ PRÁCE'!#REF!</f>
        <v>#REF!</v>
      </c>
      <c r="G96" s="3" t="e">
        <f>'01-BOURACÍ PRÁCE'!#REF!</f>
        <v>#REF!</v>
      </c>
      <c r="H96" s="3" t="e">
        <f t="shared" si="62"/>
        <v>#REF!</v>
      </c>
      <c r="I96" s="3" t="e">
        <f t="shared" si="63"/>
        <v>#REF!</v>
      </c>
      <c r="J96" s="3" t="e">
        <f t="shared" si="64"/>
        <v>#REF!</v>
      </c>
      <c r="K96" s="3">
        <v>0</v>
      </c>
      <c r="L96" s="3" t="e">
        <f t="shared" si="65"/>
        <v>#REF!</v>
      </c>
      <c r="M96" s="46" t="s">
        <v>380</v>
      </c>
      <c r="P96" s="49">
        <f t="shared" si="66"/>
        <v>0</v>
      </c>
      <c r="R96" s="49">
        <f t="shared" si="67"/>
        <v>0</v>
      </c>
      <c r="S96" s="49">
        <f t="shared" si="68"/>
        <v>0</v>
      </c>
      <c r="T96" s="49" t="e">
        <f t="shared" si="69"/>
        <v>#REF!</v>
      </c>
      <c r="U96" s="49" t="e">
        <f t="shared" si="70"/>
        <v>#REF!</v>
      </c>
      <c r="V96" s="49">
        <f t="shared" si="71"/>
        <v>0</v>
      </c>
      <c r="W96" s="49">
        <f t="shared" si="72"/>
        <v>0</v>
      </c>
      <c r="X96" s="49">
        <f t="shared" si="73"/>
        <v>0</v>
      </c>
      <c r="Y96" s="41" t="s">
        <v>101</v>
      </c>
      <c r="Z96" s="3">
        <f t="shared" si="74"/>
        <v>0</v>
      </c>
      <c r="AA96" s="3">
        <f t="shared" si="75"/>
        <v>0</v>
      </c>
      <c r="AB96" s="3" t="e">
        <f t="shared" si="76"/>
        <v>#REF!</v>
      </c>
      <c r="AD96" s="49">
        <v>21</v>
      </c>
      <c r="AE96" s="49" t="e">
        <f>G96*0.0160183066361556</f>
        <v>#REF!</v>
      </c>
      <c r="AF96" s="49" t="e">
        <f>G96*(1-0.0160183066361556)</f>
        <v>#REF!</v>
      </c>
      <c r="AG96" s="46" t="s">
        <v>13</v>
      </c>
      <c r="AM96" s="49" t="e">
        <f t="shared" si="77"/>
        <v>#REF!</v>
      </c>
      <c r="AN96" s="49" t="e">
        <f t="shared" si="78"/>
        <v>#REF!</v>
      </c>
      <c r="AO96" s="50" t="s">
        <v>406</v>
      </c>
      <c r="AP96" s="50" t="s">
        <v>417</v>
      </c>
      <c r="AQ96" s="41" t="s">
        <v>422</v>
      </c>
      <c r="AS96" s="49" t="e">
        <f t="shared" si="79"/>
        <v>#REF!</v>
      </c>
      <c r="AT96" s="49" t="e">
        <f t="shared" si="80"/>
        <v>#REF!</v>
      </c>
      <c r="AU96" s="49">
        <v>0</v>
      </c>
      <c r="AV96" s="49" t="e">
        <f t="shared" si="81"/>
        <v>#REF!</v>
      </c>
    </row>
    <row r="97" spans="1:48" ht="12.75">
      <c r="A97" s="1" t="s">
        <v>71</v>
      </c>
      <c r="B97" s="1" t="s">
        <v>101</v>
      </c>
      <c r="C97" s="1" t="s">
        <v>177</v>
      </c>
      <c r="D97" s="1" t="s">
        <v>291</v>
      </c>
      <c r="E97" s="1" t="s">
        <v>329</v>
      </c>
      <c r="F97" s="3" t="e">
        <f>'01-BOURACÍ PRÁCE'!#REF!</f>
        <v>#REF!</v>
      </c>
      <c r="G97" s="3" t="e">
        <f>'01-BOURACÍ PRÁCE'!#REF!</f>
        <v>#REF!</v>
      </c>
      <c r="H97" s="3" t="e">
        <f t="shared" si="62"/>
        <v>#REF!</v>
      </c>
      <c r="I97" s="3" t="e">
        <f t="shared" si="63"/>
        <v>#REF!</v>
      </c>
      <c r="J97" s="3" t="e">
        <f t="shared" si="64"/>
        <v>#REF!</v>
      </c>
      <c r="K97" s="3">
        <v>0.00043</v>
      </c>
      <c r="L97" s="3" t="e">
        <f t="shared" si="65"/>
        <v>#REF!</v>
      </c>
      <c r="M97" s="46" t="s">
        <v>380</v>
      </c>
      <c r="P97" s="49">
        <f t="shared" si="66"/>
        <v>0</v>
      </c>
      <c r="R97" s="49">
        <f t="shared" si="67"/>
        <v>0</v>
      </c>
      <c r="S97" s="49">
        <f t="shared" si="68"/>
        <v>0</v>
      </c>
      <c r="T97" s="49" t="e">
        <f t="shared" si="69"/>
        <v>#REF!</v>
      </c>
      <c r="U97" s="49" t="e">
        <f t="shared" si="70"/>
        <v>#REF!</v>
      </c>
      <c r="V97" s="49">
        <f t="shared" si="71"/>
        <v>0</v>
      </c>
      <c r="W97" s="49">
        <f t="shared" si="72"/>
        <v>0</v>
      </c>
      <c r="X97" s="49">
        <f t="shared" si="73"/>
        <v>0</v>
      </c>
      <c r="Y97" s="41" t="s">
        <v>101</v>
      </c>
      <c r="Z97" s="3">
        <f t="shared" si="74"/>
        <v>0</v>
      </c>
      <c r="AA97" s="3">
        <f t="shared" si="75"/>
        <v>0</v>
      </c>
      <c r="AB97" s="3" t="e">
        <f t="shared" si="76"/>
        <v>#REF!</v>
      </c>
      <c r="AD97" s="49">
        <v>21</v>
      </c>
      <c r="AE97" s="49" t="e">
        <f>G97*0.875759577278732</f>
        <v>#REF!</v>
      </c>
      <c r="AF97" s="49" t="e">
        <f>G97*(1-0.875759577278732)</f>
        <v>#REF!</v>
      </c>
      <c r="AG97" s="46" t="s">
        <v>13</v>
      </c>
      <c r="AM97" s="49" t="e">
        <f t="shared" si="77"/>
        <v>#REF!</v>
      </c>
      <c r="AN97" s="49" t="e">
        <f t="shared" si="78"/>
        <v>#REF!</v>
      </c>
      <c r="AO97" s="50" t="s">
        <v>406</v>
      </c>
      <c r="AP97" s="50" t="s">
        <v>417</v>
      </c>
      <c r="AQ97" s="41" t="s">
        <v>422</v>
      </c>
      <c r="AS97" s="49" t="e">
        <f t="shared" si="79"/>
        <v>#REF!</v>
      </c>
      <c r="AT97" s="49" t="e">
        <f t="shared" si="80"/>
        <v>#REF!</v>
      </c>
      <c r="AU97" s="49">
        <v>0</v>
      </c>
      <c r="AV97" s="49" t="e">
        <f t="shared" si="81"/>
        <v>#REF!</v>
      </c>
    </row>
    <row r="98" spans="1:48" ht="12.75">
      <c r="A98" s="1" t="s">
        <v>72</v>
      </c>
      <c r="B98" s="1" t="s">
        <v>101</v>
      </c>
      <c r="C98" s="1" t="s">
        <v>178</v>
      </c>
      <c r="D98" s="1" t="s">
        <v>292</v>
      </c>
      <c r="E98" s="1" t="s">
        <v>329</v>
      </c>
      <c r="F98" s="3" t="e">
        <f>'01-BOURACÍ PRÁCE'!#REF!</f>
        <v>#REF!</v>
      </c>
      <c r="G98" s="3" t="e">
        <f>'01-BOURACÍ PRÁCE'!#REF!</f>
        <v>#REF!</v>
      </c>
      <c r="H98" s="3" t="e">
        <f t="shared" si="62"/>
        <v>#REF!</v>
      </c>
      <c r="I98" s="3" t="e">
        <f t="shared" si="63"/>
        <v>#REF!</v>
      </c>
      <c r="J98" s="3" t="e">
        <f t="shared" si="64"/>
        <v>#REF!</v>
      </c>
      <c r="K98" s="3">
        <v>0.00017</v>
      </c>
      <c r="L98" s="3" t="e">
        <f t="shared" si="65"/>
        <v>#REF!</v>
      </c>
      <c r="M98" s="46" t="s">
        <v>380</v>
      </c>
      <c r="P98" s="49">
        <f t="shared" si="66"/>
        <v>0</v>
      </c>
      <c r="R98" s="49">
        <f t="shared" si="67"/>
        <v>0</v>
      </c>
      <c r="S98" s="49">
        <f t="shared" si="68"/>
        <v>0</v>
      </c>
      <c r="T98" s="49" t="e">
        <f t="shared" si="69"/>
        <v>#REF!</v>
      </c>
      <c r="U98" s="49" t="e">
        <f t="shared" si="70"/>
        <v>#REF!</v>
      </c>
      <c r="V98" s="49">
        <f t="shared" si="71"/>
        <v>0</v>
      </c>
      <c r="W98" s="49">
        <f t="shared" si="72"/>
        <v>0</v>
      </c>
      <c r="X98" s="49">
        <f t="shared" si="73"/>
        <v>0</v>
      </c>
      <c r="Y98" s="41" t="s">
        <v>101</v>
      </c>
      <c r="Z98" s="3">
        <f t="shared" si="74"/>
        <v>0</v>
      </c>
      <c r="AA98" s="3">
        <f t="shared" si="75"/>
        <v>0</v>
      </c>
      <c r="AB98" s="3" t="e">
        <f t="shared" si="76"/>
        <v>#REF!</v>
      </c>
      <c r="AD98" s="49">
        <v>21</v>
      </c>
      <c r="AE98" s="49" t="e">
        <f>G98*0.862730923694779</f>
        <v>#REF!</v>
      </c>
      <c r="AF98" s="49" t="e">
        <f>G98*(1-0.862730923694779)</f>
        <v>#REF!</v>
      </c>
      <c r="AG98" s="46" t="s">
        <v>13</v>
      </c>
      <c r="AM98" s="49" t="e">
        <f t="shared" si="77"/>
        <v>#REF!</v>
      </c>
      <c r="AN98" s="49" t="e">
        <f t="shared" si="78"/>
        <v>#REF!</v>
      </c>
      <c r="AO98" s="50" t="s">
        <v>406</v>
      </c>
      <c r="AP98" s="50" t="s">
        <v>417</v>
      </c>
      <c r="AQ98" s="41" t="s">
        <v>422</v>
      </c>
      <c r="AS98" s="49" t="e">
        <f t="shared" si="79"/>
        <v>#REF!</v>
      </c>
      <c r="AT98" s="49" t="e">
        <f t="shared" si="80"/>
        <v>#REF!</v>
      </c>
      <c r="AU98" s="49">
        <v>0</v>
      </c>
      <c r="AV98" s="49" t="e">
        <f t="shared" si="81"/>
        <v>#REF!</v>
      </c>
    </row>
    <row r="99" spans="1:48" ht="12.75">
      <c r="A99" s="1" t="s">
        <v>73</v>
      </c>
      <c r="B99" s="1" t="s">
        <v>101</v>
      </c>
      <c r="C99" s="1" t="s">
        <v>179</v>
      </c>
      <c r="D99" s="1" t="s">
        <v>293</v>
      </c>
      <c r="E99" s="1" t="s">
        <v>328</v>
      </c>
      <c r="F99" s="3" t="e">
        <f>'01-BOURACÍ PRÁCE'!#REF!</f>
        <v>#REF!</v>
      </c>
      <c r="G99" s="3" t="e">
        <f>'01-BOURACÍ PRÁCE'!#REF!</f>
        <v>#REF!</v>
      </c>
      <c r="H99" s="3" t="e">
        <f t="shared" si="62"/>
        <v>#REF!</v>
      </c>
      <c r="I99" s="3" t="e">
        <f t="shared" si="63"/>
        <v>#REF!</v>
      </c>
      <c r="J99" s="3" t="e">
        <f t="shared" si="64"/>
        <v>#REF!</v>
      </c>
      <c r="K99" s="3">
        <v>0.00049</v>
      </c>
      <c r="L99" s="3" t="e">
        <f t="shared" si="65"/>
        <v>#REF!</v>
      </c>
      <c r="M99" s="46" t="s">
        <v>380</v>
      </c>
      <c r="P99" s="49">
        <f t="shared" si="66"/>
        <v>0</v>
      </c>
      <c r="R99" s="49">
        <f t="shared" si="67"/>
        <v>0</v>
      </c>
      <c r="S99" s="49">
        <f t="shared" si="68"/>
        <v>0</v>
      </c>
      <c r="T99" s="49" t="e">
        <f t="shared" si="69"/>
        <v>#REF!</v>
      </c>
      <c r="U99" s="49" t="e">
        <f t="shared" si="70"/>
        <v>#REF!</v>
      </c>
      <c r="V99" s="49">
        <f t="shared" si="71"/>
        <v>0</v>
      </c>
      <c r="W99" s="49">
        <f t="shared" si="72"/>
        <v>0</v>
      </c>
      <c r="X99" s="49">
        <f t="shared" si="73"/>
        <v>0</v>
      </c>
      <c r="Y99" s="41" t="s">
        <v>101</v>
      </c>
      <c r="Z99" s="3">
        <f t="shared" si="74"/>
        <v>0</v>
      </c>
      <c r="AA99" s="3">
        <f t="shared" si="75"/>
        <v>0</v>
      </c>
      <c r="AB99" s="3" t="e">
        <f t="shared" si="76"/>
        <v>#REF!</v>
      </c>
      <c r="AD99" s="49">
        <v>21</v>
      </c>
      <c r="AE99" s="49" t="e">
        <f>G99*0.226096256684492</f>
        <v>#REF!</v>
      </c>
      <c r="AF99" s="49" t="e">
        <f>G99*(1-0.226096256684492)</f>
        <v>#REF!</v>
      </c>
      <c r="AG99" s="46" t="s">
        <v>13</v>
      </c>
      <c r="AM99" s="49" t="e">
        <f t="shared" si="77"/>
        <v>#REF!</v>
      </c>
      <c r="AN99" s="49" t="e">
        <f t="shared" si="78"/>
        <v>#REF!</v>
      </c>
      <c r="AO99" s="50" t="s">
        <v>406</v>
      </c>
      <c r="AP99" s="50" t="s">
        <v>417</v>
      </c>
      <c r="AQ99" s="41" t="s">
        <v>422</v>
      </c>
      <c r="AS99" s="49" t="e">
        <f t="shared" si="79"/>
        <v>#REF!</v>
      </c>
      <c r="AT99" s="49" t="e">
        <f t="shared" si="80"/>
        <v>#REF!</v>
      </c>
      <c r="AU99" s="49">
        <v>0</v>
      </c>
      <c r="AV99" s="49" t="e">
        <f t="shared" si="81"/>
        <v>#REF!</v>
      </c>
    </row>
    <row r="100" spans="1:48" ht="12.75">
      <c r="A100" s="1" t="s">
        <v>74</v>
      </c>
      <c r="B100" s="1" t="s">
        <v>101</v>
      </c>
      <c r="C100" s="1" t="s">
        <v>180</v>
      </c>
      <c r="D100" s="1" t="s">
        <v>294</v>
      </c>
      <c r="E100" s="1" t="s">
        <v>328</v>
      </c>
      <c r="F100" s="3" t="e">
        <f>'01-BOURACÍ PRÁCE'!#REF!</f>
        <v>#REF!</v>
      </c>
      <c r="G100" s="3" t="e">
        <f>'01-BOURACÍ PRÁCE'!#REF!</f>
        <v>#REF!</v>
      </c>
      <c r="H100" s="3" t="e">
        <f t="shared" si="62"/>
        <v>#REF!</v>
      </c>
      <c r="I100" s="3" t="e">
        <f t="shared" si="63"/>
        <v>#REF!</v>
      </c>
      <c r="J100" s="3" t="e">
        <f t="shared" si="64"/>
        <v>#REF!</v>
      </c>
      <c r="K100" s="3">
        <v>0.00052</v>
      </c>
      <c r="L100" s="3" t="e">
        <f t="shared" si="65"/>
        <v>#REF!</v>
      </c>
      <c r="M100" s="46" t="s">
        <v>380</v>
      </c>
      <c r="P100" s="49">
        <f t="shared" si="66"/>
        <v>0</v>
      </c>
      <c r="R100" s="49">
        <f t="shared" si="67"/>
        <v>0</v>
      </c>
      <c r="S100" s="49">
        <f t="shared" si="68"/>
        <v>0</v>
      </c>
      <c r="T100" s="49" t="e">
        <f t="shared" si="69"/>
        <v>#REF!</v>
      </c>
      <c r="U100" s="49" t="e">
        <f t="shared" si="70"/>
        <v>#REF!</v>
      </c>
      <c r="V100" s="49">
        <f t="shared" si="71"/>
        <v>0</v>
      </c>
      <c r="W100" s="49">
        <f t="shared" si="72"/>
        <v>0</v>
      </c>
      <c r="X100" s="49">
        <f t="shared" si="73"/>
        <v>0</v>
      </c>
      <c r="Y100" s="41" t="s">
        <v>101</v>
      </c>
      <c r="Z100" s="3">
        <f t="shared" si="74"/>
        <v>0</v>
      </c>
      <c r="AA100" s="3">
        <f t="shared" si="75"/>
        <v>0</v>
      </c>
      <c r="AB100" s="3" t="e">
        <f t="shared" si="76"/>
        <v>#REF!</v>
      </c>
      <c r="AD100" s="49">
        <v>21</v>
      </c>
      <c r="AE100" s="49" t="e">
        <f>G100*0.288796068796069</f>
        <v>#REF!</v>
      </c>
      <c r="AF100" s="49" t="e">
        <f>G100*(1-0.288796068796069)</f>
        <v>#REF!</v>
      </c>
      <c r="AG100" s="46" t="s">
        <v>13</v>
      </c>
      <c r="AM100" s="49" t="e">
        <f t="shared" si="77"/>
        <v>#REF!</v>
      </c>
      <c r="AN100" s="49" t="e">
        <f t="shared" si="78"/>
        <v>#REF!</v>
      </c>
      <c r="AO100" s="50" t="s">
        <v>406</v>
      </c>
      <c r="AP100" s="50" t="s">
        <v>417</v>
      </c>
      <c r="AQ100" s="41" t="s">
        <v>422</v>
      </c>
      <c r="AS100" s="49" t="e">
        <f t="shared" si="79"/>
        <v>#REF!</v>
      </c>
      <c r="AT100" s="49" t="e">
        <f t="shared" si="80"/>
        <v>#REF!</v>
      </c>
      <c r="AU100" s="49">
        <v>0</v>
      </c>
      <c r="AV100" s="49" t="e">
        <f t="shared" si="81"/>
        <v>#REF!</v>
      </c>
    </row>
    <row r="101" spans="1:48" ht="12.75">
      <c r="A101" s="1" t="s">
        <v>75</v>
      </c>
      <c r="B101" s="1" t="s">
        <v>101</v>
      </c>
      <c r="C101" s="1" t="s">
        <v>181</v>
      </c>
      <c r="D101" s="1" t="s">
        <v>295</v>
      </c>
      <c r="E101" s="1" t="s">
        <v>326</v>
      </c>
      <c r="F101" s="3" t="e">
        <f>'01-BOURACÍ PRÁCE'!#REF!</f>
        <v>#REF!</v>
      </c>
      <c r="G101" s="3" t="e">
        <f>'01-BOURACÍ PRÁCE'!#REF!</f>
        <v>#REF!</v>
      </c>
      <c r="H101" s="3" t="e">
        <f t="shared" si="62"/>
        <v>#REF!</v>
      </c>
      <c r="I101" s="3" t="e">
        <f t="shared" si="63"/>
        <v>#REF!</v>
      </c>
      <c r="J101" s="3" t="e">
        <f t="shared" si="64"/>
        <v>#REF!</v>
      </c>
      <c r="K101" s="3">
        <v>0</v>
      </c>
      <c r="L101" s="3" t="e">
        <f t="shared" si="65"/>
        <v>#REF!</v>
      </c>
      <c r="M101" s="46" t="s">
        <v>380</v>
      </c>
      <c r="P101" s="49">
        <f t="shared" si="66"/>
        <v>0</v>
      </c>
      <c r="R101" s="49">
        <f t="shared" si="67"/>
        <v>0</v>
      </c>
      <c r="S101" s="49">
        <f t="shared" si="68"/>
        <v>0</v>
      </c>
      <c r="T101" s="49" t="e">
        <f t="shared" si="69"/>
        <v>#REF!</v>
      </c>
      <c r="U101" s="49" t="e">
        <f t="shared" si="70"/>
        <v>#REF!</v>
      </c>
      <c r="V101" s="49">
        <f t="shared" si="71"/>
        <v>0</v>
      </c>
      <c r="W101" s="49">
        <f t="shared" si="72"/>
        <v>0</v>
      </c>
      <c r="X101" s="49">
        <f t="shared" si="73"/>
        <v>0</v>
      </c>
      <c r="Y101" s="41" t="s">
        <v>101</v>
      </c>
      <c r="Z101" s="3">
        <f t="shared" si="74"/>
        <v>0</v>
      </c>
      <c r="AA101" s="3">
        <f t="shared" si="75"/>
        <v>0</v>
      </c>
      <c r="AB101" s="3" t="e">
        <f t="shared" si="76"/>
        <v>#REF!</v>
      </c>
      <c r="AD101" s="49">
        <v>21</v>
      </c>
      <c r="AE101" s="49" t="e">
        <f>G101*0</f>
        <v>#REF!</v>
      </c>
      <c r="AF101" s="49" t="e">
        <f>G101*(1-0)</f>
        <v>#REF!</v>
      </c>
      <c r="AG101" s="46" t="s">
        <v>13</v>
      </c>
      <c r="AM101" s="49" t="e">
        <f t="shared" si="77"/>
        <v>#REF!</v>
      </c>
      <c r="AN101" s="49" t="e">
        <f t="shared" si="78"/>
        <v>#REF!</v>
      </c>
      <c r="AO101" s="50" t="s">
        <v>406</v>
      </c>
      <c r="AP101" s="50" t="s">
        <v>417</v>
      </c>
      <c r="AQ101" s="41" t="s">
        <v>422</v>
      </c>
      <c r="AS101" s="49" t="e">
        <f t="shared" si="79"/>
        <v>#REF!</v>
      </c>
      <c r="AT101" s="49" t="e">
        <f t="shared" si="80"/>
        <v>#REF!</v>
      </c>
      <c r="AU101" s="49">
        <v>0</v>
      </c>
      <c r="AV101" s="49" t="e">
        <f t="shared" si="81"/>
        <v>#REF!</v>
      </c>
    </row>
    <row r="102" spans="1:48" ht="12.75">
      <c r="A102" s="1" t="s">
        <v>76</v>
      </c>
      <c r="B102" s="1" t="s">
        <v>101</v>
      </c>
      <c r="C102" s="1" t="s">
        <v>182</v>
      </c>
      <c r="D102" s="1" t="s">
        <v>296</v>
      </c>
      <c r="E102" s="1" t="s">
        <v>326</v>
      </c>
      <c r="F102" s="3" t="e">
        <f>'01-BOURACÍ PRÁCE'!#REF!</f>
        <v>#REF!</v>
      </c>
      <c r="G102" s="3" t="e">
        <f>'01-BOURACÍ PRÁCE'!#REF!</f>
        <v>#REF!</v>
      </c>
      <c r="H102" s="3" t="e">
        <f t="shared" si="62"/>
        <v>#REF!</v>
      </c>
      <c r="I102" s="3" t="e">
        <f t="shared" si="63"/>
        <v>#REF!</v>
      </c>
      <c r="J102" s="3" t="e">
        <f t="shared" si="64"/>
        <v>#REF!</v>
      </c>
      <c r="K102" s="3">
        <v>0</v>
      </c>
      <c r="L102" s="3" t="e">
        <f t="shared" si="65"/>
        <v>#REF!</v>
      </c>
      <c r="M102" s="46" t="s">
        <v>380</v>
      </c>
      <c r="P102" s="49">
        <f t="shared" si="66"/>
        <v>0</v>
      </c>
      <c r="R102" s="49">
        <f t="shared" si="67"/>
        <v>0</v>
      </c>
      <c r="S102" s="49">
        <f t="shared" si="68"/>
        <v>0</v>
      </c>
      <c r="T102" s="49" t="e">
        <f t="shared" si="69"/>
        <v>#REF!</v>
      </c>
      <c r="U102" s="49" t="e">
        <f t="shared" si="70"/>
        <v>#REF!</v>
      </c>
      <c r="V102" s="49">
        <f t="shared" si="71"/>
        <v>0</v>
      </c>
      <c r="W102" s="49">
        <f t="shared" si="72"/>
        <v>0</v>
      </c>
      <c r="X102" s="49">
        <f t="shared" si="73"/>
        <v>0</v>
      </c>
      <c r="Y102" s="41" t="s">
        <v>101</v>
      </c>
      <c r="Z102" s="3">
        <f t="shared" si="74"/>
        <v>0</v>
      </c>
      <c r="AA102" s="3">
        <f t="shared" si="75"/>
        <v>0</v>
      </c>
      <c r="AB102" s="3" t="e">
        <f t="shared" si="76"/>
        <v>#REF!</v>
      </c>
      <c r="AD102" s="49">
        <v>21</v>
      </c>
      <c r="AE102" s="49" t="e">
        <f>G102*0</f>
        <v>#REF!</v>
      </c>
      <c r="AF102" s="49" t="e">
        <f>G102*(1-0)</f>
        <v>#REF!</v>
      </c>
      <c r="AG102" s="46" t="s">
        <v>13</v>
      </c>
      <c r="AM102" s="49" t="e">
        <f t="shared" si="77"/>
        <v>#REF!</v>
      </c>
      <c r="AN102" s="49" t="e">
        <f t="shared" si="78"/>
        <v>#REF!</v>
      </c>
      <c r="AO102" s="50" t="s">
        <v>406</v>
      </c>
      <c r="AP102" s="50" t="s">
        <v>417</v>
      </c>
      <c r="AQ102" s="41" t="s">
        <v>422</v>
      </c>
      <c r="AS102" s="49" t="e">
        <f t="shared" si="79"/>
        <v>#REF!</v>
      </c>
      <c r="AT102" s="49" t="e">
        <f t="shared" si="80"/>
        <v>#REF!</v>
      </c>
      <c r="AU102" s="49">
        <v>0</v>
      </c>
      <c r="AV102" s="49" t="e">
        <f t="shared" si="81"/>
        <v>#REF!</v>
      </c>
    </row>
    <row r="103" spans="1:48" ht="12.75">
      <c r="A103" s="1" t="s">
        <v>77</v>
      </c>
      <c r="B103" s="1" t="s">
        <v>101</v>
      </c>
      <c r="C103" s="1" t="s">
        <v>183</v>
      </c>
      <c r="D103" s="1" t="s">
        <v>281</v>
      </c>
      <c r="E103" s="1" t="s">
        <v>326</v>
      </c>
      <c r="F103" s="3" t="e">
        <f>'01-BOURACÍ PRÁCE'!#REF!</f>
        <v>#REF!</v>
      </c>
      <c r="G103" s="3" t="e">
        <f>'01-BOURACÍ PRÁCE'!#REF!</f>
        <v>#REF!</v>
      </c>
      <c r="H103" s="3" t="e">
        <f t="shared" si="62"/>
        <v>#REF!</v>
      </c>
      <c r="I103" s="3" t="e">
        <f t="shared" si="63"/>
        <v>#REF!</v>
      </c>
      <c r="J103" s="3" t="e">
        <f t="shared" si="64"/>
        <v>#REF!</v>
      </c>
      <c r="K103" s="3">
        <v>0</v>
      </c>
      <c r="L103" s="3" t="e">
        <f t="shared" si="65"/>
        <v>#REF!</v>
      </c>
      <c r="M103" s="46" t="s">
        <v>380</v>
      </c>
      <c r="P103" s="49">
        <f t="shared" si="66"/>
        <v>0</v>
      </c>
      <c r="R103" s="49">
        <f t="shared" si="67"/>
        <v>0</v>
      </c>
      <c r="S103" s="49">
        <f t="shared" si="68"/>
        <v>0</v>
      </c>
      <c r="T103" s="49" t="e">
        <f t="shared" si="69"/>
        <v>#REF!</v>
      </c>
      <c r="U103" s="49" t="e">
        <f t="shared" si="70"/>
        <v>#REF!</v>
      </c>
      <c r="V103" s="49">
        <f t="shared" si="71"/>
        <v>0</v>
      </c>
      <c r="W103" s="49">
        <f t="shared" si="72"/>
        <v>0</v>
      </c>
      <c r="X103" s="49">
        <f t="shared" si="73"/>
        <v>0</v>
      </c>
      <c r="Y103" s="41" t="s">
        <v>101</v>
      </c>
      <c r="Z103" s="3">
        <f t="shared" si="74"/>
        <v>0</v>
      </c>
      <c r="AA103" s="3">
        <f t="shared" si="75"/>
        <v>0</v>
      </c>
      <c r="AB103" s="3" t="e">
        <f t="shared" si="76"/>
        <v>#REF!</v>
      </c>
      <c r="AD103" s="49">
        <v>21</v>
      </c>
      <c r="AE103" s="49" t="e">
        <f>G103*1</f>
        <v>#REF!</v>
      </c>
      <c r="AF103" s="49" t="e">
        <f>G103*(1-1)</f>
        <v>#REF!</v>
      </c>
      <c r="AG103" s="46" t="s">
        <v>13</v>
      </c>
      <c r="AM103" s="49" t="e">
        <f t="shared" si="77"/>
        <v>#REF!</v>
      </c>
      <c r="AN103" s="49" t="e">
        <f t="shared" si="78"/>
        <v>#REF!</v>
      </c>
      <c r="AO103" s="50" t="s">
        <v>406</v>
      </c>
      <c r="AP103" s="50" t="s">
        <v>417</v>
      </c>
      <c r="AQ103" s="41" t="s">
        <v>422</v>
      </c>
      <c r="AS103" s="49" t="e">
        <f t="shared" si="79"/>
        <v>#REF!</v>
      </c>
      <c r="AT103" s="49" t="e">
        <f t="shared" si="80"/>
        <v>#REF!</v>
      </c>
      <c r="AU103" s="49">
        <v>0</v>
      </c>
      <c r="AV103" s="49" t="e">
        <f t="shared" si="81"/>
        <v>#REF!</v>
      </c>
    </row>
    <row r="104" spans="1:48" ht="12.75">
      <c r="A104" s="1" t="s">
        <v>78</v>
      </c>
      <c r="B104" s="1" t="s">
        <v>101</v>
      </c>
      <c r="C104" s="1" t="s">
        <v>184</v>
      </c>
      <c r="D104" s="1" t="s">
        <v>297</v>
      </c>
      <c r="E104" s="1" t="s">
        <v>331</v>
      </c>
      <c r="F104" s="3" t="e">
        <f>'01-BOURACÍ PRÁCE'!#REF!</f>
        <v>#REF!</v>
      </c>
      <c r="G104" s="3" t="e">
        <f>'01-BOURACÍ PRÁCE'!#REF!</f>
        <v>#REF!</v>
      </c>
      <c r="H104" s="3" t="e">
        <f t="shared" si="62"/>
        <v>#REF!</v>
      </c>
      <c r="I104" s="3" t="e">
        <f t="shared" si="63"/>
        <v>#REF!</v>
      </c>
      <c r="J104" s="3" t="e">
        <f t="shared" si="64"/>
        <v>#REF!</v>
      </c>
      <c r="K104" s="3">
        <v>0</v>
      </c>
      <c r="L104" s="3" t="e">
        <f t="shared" si="65"/>
        <v>#REF!</v>
      </c>
      <c r="M104" s="46" t="s">
        <v>380</v>
      </c>
      <c r="P104" s="49" t="e">
        <f t="shared" si="66"/>
        <v>#REF!</v>
      </c>
      <c r="R104" s="49">
        <f t="shared" si="67"/>
        <v>0</v>
      </c>
      <c r="S104" s="49">
        <f t="shared" si="68"/>
        <v>0</v>
      </c>
      <c r="T104" s="49">
        <f t="shared" si="69"/>
        <v>0</v>
      </c>
      <c r="U104" s="49">
        <f t="shared" si="70"/>
        <v>0</v>
      </c>
      <c r="V104" s="49">
        <f t="shared" si="71"/>
        <v>0</v>
      </c>
      <c r="W104" s="49">
        <f t="shared" si="72"/>
        <v>0</v>
      </c>
      <c r="X104" s="49">
        <f t="shared" si="73"/>
        <v>0</v>
      </c>
      <c r="Y104" s="41" t="s">
        <v>101</v>
      </c>
      <c r="Z104" s="3">
        <f t="shared" si="74"/>
        <v>0</v>
      </c>
      <c r="AA104" s="3">
        <f t="shared" si="75"/>
        <v>0</v>
      </c>
      <c r="AB104" s="3" t="e">
        <f t="shared" si="76"/>
        <v>#REF!</v>
      </c>
      <c r="AD104" s="49">
        <v>21</v>
      </c>
      <c r="AE104" s="49" t="e">
        <f>G104*0</f>
        <v>#REF!</v>
      </c>
      <c r="AF104" s="49" t="e">
        <f>G104*(1-0)</f>
        <v>#REF!</v>
      </c>
      <c r="AG104" s="46" t="s">
        <v>11</v>
      </c>
      <c r="AM104" s="49" t="e">
        <f t="shared" si="77"/>
        <v>#REF!</v>
      </c>
      <c r="AN104" s="49" t="e">
        <f t="shared" si="78"/>
        <v>#REF!</v>
      </c>
      <c r="AO104" s="50" t="s">
        <v>406</v>
      </c>
      <c r="AP104" s="50" t="s">
        <v>417</v>
      </c>
      <c r="AQ104" s="41" t="s">
        <v>422</v>
      </c>
      <c r="AS104" s="49" t="e">
        <f t="shared" si="79"/>
        <v>#REF!</v>
      </c>
      <c r="AT104" s="49" t="e">
        <f t="shared" si="80"/>
        <v>#REF!</v>
      </c>
      <c r="AU104" s="49">
        <v>0</v>
      </c>
      <c r="AV104" s="49" t="e">
        <f t="shared" si="81"/>
        <v>#REF!</v>
      </c>
    </row>
    <row r="105" spans="1:37" ht="12.75">
      <c r="A105" s="24"/>
      <c r="B105" s="31" t="s">
        <v>101</v>
      </c>
      <c r="C105" s="31" t="s">
        <v>185</v>
      </c>
      <c r="D105" s="31" t="s">
        <v>298</v>
      </c>
      <c r="E105" s="24" t="s">
        <v>6</v>
      </c>
      <c r="F105" s="24" t="s">
        <v>6</v>
      </c>
      <c r="G105" s="24" t="s">
        <v>6</v>
      </c>
      <c r="H105" s="6" t="e">
        <f>SUM(H106:H114)</f>
        <v>#REF!</v>
      </c>
      <c r="I105" s="6" t="e">
        <f>SUM(I106:I114)</f>
        <v>#REF!</v>
      </c>
      <c r="J105" s="6" t="e">
        <f>H105+I105</f>
        <v>#REF!</v>
      </c>
      <c r="K105" s="41"/>
      <c r="L105" s="6" t="e">
        <f>SUM(L106:L114)</f>
        <v>#REF!</v>
      </c>
      <c r="M105" s="41"/>
      <c r="Y105" s="41" t="s">
        <v>101</v>
      </c>
      <c r="AI105" s="6">
        <f>SUM(Z106:Z114)</f>
        <v>0</v>
      </c>
      <c r="AJ105" s="6">
        <f>SUM(AA106:AA114)</f>
        <v>0</v>
      </c>
      <c r="AK105" s="6" t="e">
        <f>SUM(AB106:AB114)</f>
        <v>#REF!</v>
      </c>
    </row>
    <row r="106" spans="1:48" ht="12.75">
      <c r="A106" s="1" t="s">
        <v>79</v>
      </c>
      <c r="B106" s="1" t="s">
        <v>101</v>
      </c>
      <c r="C106" s="1" t="s">
        <v>186</v>
      </c>
      <c r="D106" s="1" t="s">
        <v>299</v>
      </c>
      <c r="E106" s="1" t="s">
        <v>329</v>
      </c>
      <c r="F106" s="3" t="e">
        <f>'01-BOURACÍ PRÁCE'!#REF!</f>
        <v>#REF!</v>
      </c>
      <c r="G106" s="3" t="e">
        <f>'01-BOURACÍ PRÁCE'!#REF!</f>
        <v>#REF!</v>
      </c>
      <c r="H106" s="3" t="e">
        <f aca="true" t="shared" si="82" ref="H106:H114">F106*AE106</f>
        <v>#REF!</v>
      </c>
      <c r="I106" s="3" t="e">
        <f aca="true" t="shared" si="83" ref="I106:I114">J106-H106</f>
        <v>#REF!</v>
      </c>
      <c r="J106" s="3" t="e">
        <f aca="true" t="shared" si="84" ref="J106:J114">F106*G106</f>
        <v>#REF!</v>
      </c>
      <c r="K106" s="3">
        <v>0.00085</v>
      </c>
      <c r="L106" s="3" t="e">
        <f aca="true" t="shared" si="85" ref="L106:L114">F106*K106</f>
        <v>#REF!</v>
      </c>
      <c r="M106" s="46" t="s">
        <v>380</v>
      </c>
      <c r="P106" s="49">
        <f aca="true" t="shared" si="86" ref="P106:P114">IF(AG106="5",J106,0)</f>
        <v>0</v>
      </c>
      <c r="R106" s="49">
        <f aca="true" t="shared" si="87" ref="R106:R114">IF(AG106="1",H106,0)</f>
        <v>0</v>
      </c>
      <c r="S106" s="49">
        <f aca="true" t="shared" si="88" ref="S106:S114">IF(AG106="1",I106,0)</f>
        <v>0</v>
      </c>
      <c r="T106" s="49" t="e">
        <f aca="true" t="shared" si="89" ref="T106:T114">IF(AG106="7",H106,0)</f>
        <v>#REF!</v>
      </c>
      <c r="U106" s="49" t="e">
        <f aca="true" t="shared" si="90" ref="U106:U114">IF(AG106="7",I106,0)</f>
        <v>#REF!</v>
      </c>
      <c r="V106" s="49">
        <f aca="true" t="shared" si="91" ref="V106:V114">IF(AG106="2",H106,0)</f>
        <v>0</v>
      </c>
      <c r="W106" s="49">
        <f aca="true" t="shared" si="92" ref="W106:W114">IF(AG106="2",I106,0)</f>
        <v>0</v>
      </c>
      <c r="X106" s="49">
        <f aca="true" t="shared" si="93" ref="X106:X114">IF(AG106="0",J106,0)</f>
        <v>0</v>
      </c>
      <c r="Y106" s="41" t="s">
        <v>101</v>
      </c>
      <c r="Z106" s="3">
        <f aca="true" t="shared" si="94" ref="Z106:Z114">IF(AD106=0,J106,0)</f>
        <v>0</v>
      </c>
      <c r="AA106" s="3">
        <f aca="true" t="shared" si="95" ref="AA106:AA114">IF(AD106=15,J106,0)</f>
        <v>0</v>
      </c>
      <c r="AB106" s="3" t="e">
        <f aca="true" t="shared" si="96" ref="AB106:AB114">IF(AD106=21,J106,0)</f>
        <v>#REF!</v>
      </c>
      <c r="AD106" s="49">
        <v>21</v>
      </c>
      <c r="AE106" s="49" t="e">
        <f>G106*0.903389423076923</f>
        <v>#REF!</v>
      </c>
      <c r="AF106" s="49" t="e">
        <f>G106*(1-0.903389423076923)</f>
        <v>#REF!</v>
      </c>
      <c r="AG106" s="46" t="s">
        <v>13</v>
      </c>
      <c r="AM106" s="49" t="e">
        <f aca="true" t="shared" si="97" ref="AM106:AM114">F106*AE106</f>
        <v>#REF!</v>
      </c>
      <c r="AN106" s="49" t="e">
        <f aca="true" t="shared" si="98" ref="AN106:AN114">F106*AF106</f>
        <v>#REF!</v>
      </c>
      <c r="AO106" s="50" t="s">
        <v>407</v>
      </c>
      <c r="AP106" s="50" t="s">
        <v>417</v>
      </c>
      <c r="AQ106" s="41" t="s">
        <v>422</v>
      </c>
      <c r="AS106" s="49" t="e">
        <f aca="true" t="shared" si="99" ref="AS106:AS114">AM106+AN106</f>
        <v>#REF!</v>
      </c>
      <c r="AT106" s="49" t="e">
        <f aca="true" t="shared" si="100" ref="AT106:AT114">G106/(100-AU106)*100</f>
        <v>#REF!</v>
      </c>
      <c r="AU106" s="49">
        <v>0</v>
      </c>
      <c r="AV106" s="49" t="e">
        <f aca="true" t="shared" si="101" ref="AV106:AV114">L106</f>
        <v>#REF!</v>
      </c>
    </row>
    <row r="107" spans="1:48" ht="12.75">
      <c r="A107" s="1" t="s">
        <v>80</v>
      </c>
      <c r="B107" s="1" t="s">
        <v>101</v>
      </c>
      <c r="C107" s="1" t="s">
        <v>187</v>
      </c>
      <c r="D107" s="1" t="s">
        <v>300</v>
      </c>
      <c r="E107" s="1" t="s">
        <v>329</v>
      </c>
      <c r="F107" s="3" t="e">
        <f>'01-BOURACÍ PRÁCE'!#REF!</f>
        <v>#REF!</v>
      </c>
      <c r="G107" s="3" t="e">
        <f>'01-BOURACÍ PRÁCE'!#REF!</f>
        <v>#REF!</v>
      </c>
      <c r="H107" s="3" t="e">
        <f t="shared" si="82"/>
        <v>#REF!</v>
      </c>
      <c r="I107" s="3" t="e">
        <f t="shared" si="83"/>
        <v>#REF!</v>
      </c>
      <c r="J107" s="3" t="e">
        <f t="shared" si="84"/>
        <v>#REF!</v>
      </c>
      <c r="K107" s="3">
        <v>0</v>
      </c>
      <c r="L107" s="3" t="e">
        <f t="shared" si="85"/>
        <v>#REF!</v>
      </c>
      <c r="M107" s="46" t="s">
        <v>380</v>
      </c>
      <c r="P107" s="49">
        <f t="shared" si="86"/>
        <v>0</v>
      </c>
      <c r="R107" s="49">
        <f t="shared" si="87"/>
        <v>0</v>
      </c>
      <c r="S107" s="49">
        <f t="shared" si="88"/>
        <v>0</v>
      </c>
      <c r="T107" s="49" t="e">
        <f t="shared" si="89"/>
        <v>#REF!</v>
      </c>
      <c r="U107" s="49" t="e">
        <f t="shared" si="90"/>
        <v>#REF!</v>
      </c>
      <c r="V107" s="49">
        <f t="shared" si="91"/>
        <v>0</v>
      </c>
      <c r="W107" s="49">
        <f t="shared" si="92"/>
        <v>0</v>
      </c>
      <c r="X107" s="49">
        <f t="shared" si="93"/>
        <v>0</v>
      </c>
      <c r="Y107" s="41" t="s">
        <v>101</v>
      </c>
      <c r="Z107" s="3">
        <f t="shared" si="94"/>
        <v>0</v>
      </c>
      <c r="AA107" s="3">
        <f t="shared" si="95"/>
        <v>0</v>
      </c>
      <c r="AB107" s="3" t="e">
        <f t="shared" si="96"/>
        <v>#REF!</v>
      </c>
      <c r="AD107" s="49">
        <v>21</v>
      </c>
      <c r="AE107" s="49" t="e">
        <f>G107*0.883386727688787</f>
        <v>#REF!</v>
      </c>
      <c r="AF107" s="49" t="e">
        <f>G107*(1-0.883386727688787)</f>
        <v>#REF!</v>
      </c>
      <c r="AG107" s="46" t="s">
        <v>13</v>
      </c>
      <c r="AM107" s="49" t="e">
        <f t="shared" si="97"/>
        <v>#REF!</v>
      </c>
      <c r="AN107" s="49" t="e">
        <f t="shared" si="98"/>
        <v>#REF!</v>
      </c>
      <c r="AO107" s="50" t="s">
        <v>407</v>
      </c>
      <c r="AP107" s="50" t="s">
        <v>417</v>
      </c>
      <c r="AQ107" s="41" t="s">
        <v>422</v>
      </c>
      <c r="AS107" s="49" t="e">
        <f t="shared" si="99"/>
        <v>#REF!</v>
      </c>
      <c r="AT107" s="49" t="e">
        <f t="shared" si="100"/>
        <v>#REF!</v>
      </c>
      <c r="AU107" s="49">
        <v>0</v>
      </c>
      <c r="AV107" s="49" t="e">
        <f t="shared" si="101"/>
        <v>#REF!</v>
      </c>
    </row>
    <row r="108" spans="1:48" ht="12.75">
      <c r="A108" s="1" t="s">
        <v>81</v>
      </c>
      <c r="B108" s="1" t="s">
        <v>101</v>
      </c>
      <c r="C108" s="1" t="s">
        <v>188</v>
      </c>
      <c r="D108" s="1" t="s">
        <v>301</v>
      </c>
      <c r="E108" s="1" t="s">
        <v>327</v>
      </c>
      <c r="F108" s="3" t="e">
        <f>'01-BOURACÍ PRÁCE'!#REF!</f>
        <v>#REF!</v>
      </c>
      <c r="G108" s="3" t="e">
        <f>'01-BOURACÍ PRÁCE'!#REF!</f>
        <v>#REF!</v>
      </c>
      <c r="H108" s="3" t="e">
        <f t="shared" si="82"/>
        <v>#REF!</v>
      </c>
      <c r="I108" s="3" t="e">
        <f t="shared" si="83"/>
        <v>#REF!</v>
      </c>
      <c r="J108" s="3" t="e">
        <f t="shared" si="84"/>
        <v>#REF!</v>
      </c>
      <c r="K108" s="3">
        <v>0.01401</v>
      </c>
      <c r="L108" s="3" t="e">
        <f t="shared" si="85"/>
        <v>#REF!</v>
      </c>
      <c r="M108" s="46" t="s">
        <v>380</v>
      </c>
      <c r="P108" s="49">
        <f t="shared" si="86"/>
        <v>0</v>
      </c>
      <c r="R108" s="49">
        <f t="shared" si="87"/>
        <v>0</v>
      </c>
      <c r="S108" s="49">
        <f t="shared" si="88"/>
        <v>0</v>
      </c>
      <c r="T108" s="49" t="e">
        <f t="shared" si="89"/>
        <v>#REF!</v>
      </c>
      <c r="U108" s="49" t="e">
        <f t="shared" si="90"/>
        <v>#REF!</v>
      </c>
      <c r="V108" s="49">
        <f t="shared" si="91"/>
        <v>0</v>
      </c>
      <c r="W108" s="49">
        <f t="shared" si="92"/>
        <v>0</v>
      </c>
      <c r="X108" s="49">
        <f t="shared" si="93"/>
        <v>0</v>
      </c>
      <c r="Y108" s="41" t="s">
        <v>101</v>
      </c>
      <c r="Z108" s="3">
        <f t="shared" si="94"/>
        <v>0</v>
      </c>
      <c r="AA108" s="3">
        <f t="shared" si="95"/>
        <v>0</v>
      </c>
      <c r="AB108" s="3" t="e">
        <f t="shared" si="96"/>
        <v>#REF!</v>
      </c>
      <c r="AD108" s="49">
        <v>21</v>
      </c>
      <c r="AE108" s="49" t="e">
        <f>G108*0.688994318181818</f>
        <v>#REF!</v>
      </c>
      <c r="AF108" s="49" t="e">
        <f>G108*(1-0.688994318181818)</f>
        <v>#REF!</v>
      </c>
      <c r="AG108" s="46" t="s">
        <v>13</v>
      </c>
      <c r="AM108" s="49" t="e">
        <f t="shared" si="97"/>
        <v>#REF!</v>
      </c>
      <c r="AN108" s="49" t="e">
        <f t="shared" si="98"/>
        <v>#REF!</v>
      </c>
      <c r="AO108" s="50" t="s">
        <v>407</v>
      </c>
      <c r="AP108" s="50" t="s">
        <v>417</v>
      </c>
      <c r="AQ108" s="41" t="s">
        <v>422</v>
      </c>
      <c r="AS108" s="49" t="e">
        <f t="shared" si="99"/>
        <v>#REF!</v>
      </c>
      <c r="AT108" s="49" t="e">
        <f t="shared" si="100"/>
        <v>#REF!</v>
      </c>
      <c r="AU108" s="49">
        <v>0</v>
      </c>
      <c r="AV108" s="49" t="e">
        <f t="shared" si="101"/>
        <v>#REF!</v>
      </c>
    </row>
    <row r="109" spans="1:48" ht="12.75">
      <c r="A109" s="1" t="s">
        <v>82</v>
      </c>
      <c r="B109" s="1" t="s">
        <v>101</v>
      </c>
      <c r="C109" s="1" t="s">
        <v>189</v>
      </c>
      <c r="D109" s="1" t="s">
        <v>302</v>
      </c>
      <c r="E109" s="1" t="s">
        <v>327</v>
      </c>
      <c r="F109" s="3" t="e">
        <f>'01-BOURACÍ PRÁCE'!#REF!</f>
        <v>#REF!</v>
      </c>
      <c r="G109" s="3" t="e">
        <f>'01-BOURACÍ PRÁCE'!#REF!</f>
        <v>#REF!</v>
      </c>
      <c r="H109" s="3" t="e">
        <f t="shared" si="82"/>
        <v>#REF!</v>
      </c>
      <c r="I109" s="3" t="e">
        <f t="shared" si="83"/>
        <v>#REF!</v>
      </c>
      <c r="J109" s="3" t="e">
        <f t="shared" si="84"/>
        <v>#REF!</v>
      </c>
      <c r="K109" s="3">
        <v>0.0109</v>
      </c>
      <c r="L109" s="3" t="e">
        <f t="shared" si="85"/>
        <v>#REF!</v>
      </c>
      <c r="M109" s="46" t="s">
        <v>380</v>
      </c>
      <c r="P109" s="49">
        <f t="shared" si="86"/>
        <v>0</v>
      </c>
      <c r="R109" s="49">
        <f t="shared" si="87"/>
        <v>0</v>
      </c>
      <c r="S109" s="49">
        <f t="shared" si="88"/>
        <v>0</v>
      </c>
      <c r="T109" s="49" t="e">
        <f t="shared" si="89"/>
        <v>#REF!</v>
      </c>
      <c r="U109" s="49" t="e">
        <f t="shared" si="90"/>
        <v>#REF!</v>
      </c>
      <c r="V109" s="49">
        <f t="shared" si="91"/>
        <v>0</v>
      </c>
      <c r="W109" s="49">
        <f t="shared" si="92"/>
        <v>0</v>
      </c>
      <c r="X109" s="49">
        <f t="shared" si="93"/>
        <v>0</v>
      </c>
      <c r="Y109" s="41" t="s">
        <v>101</v>
      </c>
      <c r="Z109" s="3">
        <f t="shared" si="94"/>
        <v>0</v>
      </c>
      <c r="AA109" s="3">
        <f t="shared" si="95"/>
        <v>0</v>
      </c>
      <c r="AB109" s="3" t="e">
        <f t="shared" si="96"/>
        <v>#REF!</v>
      </c>
      <c r="AD109" s="49">
        <v>21</v>
      </c>
      <c r="AE109" s="49" t="e">
        <f>G109*0.890494766888677</f>
        <v>#REF!</v>
      </c>
      <c r="AF109" s="49" t="e">
        <f>G109*(1-0.890494766888677)</f>
        <v>#REF!</v>
      </c>
      <c r="AG109" s="46" t="s">
        <v>13</v>
      </c>
      <c r="AM109" s="49" t="e">
        <f t="shared" si="97"/>
        <v>#REF!</v>
      </c>
      <c r="AN109" s="49" t="e">
        <f t="shared" si="98"/>
        <v>#REF!</v>
      </c>
      <c r="AO109" s="50" t="s">
        <v>407</v>
      </c>
      <c r="AP109" s="50" t="s">
        <v>417</v>
      </c>
      <c r="AQ109" s="41" t="s">
        <v>422</v>
      </c>
      <c r="AS109" s="49" t="e">
        <f t="shared" si="99"/>
        <v>#REF!</v>
      </c>
      <c r="AT109" s="49" t="e">
        <f t="shared" si="100"/>
        <v>#REF!</v>
      </c>
      <c r="AU109" s="49">
        <v>0</v>
      </c>
      <c r="AV109" s="49" t="e">
        <f t="shared" si="101"/>
        <v>#REF!</v>
      </c>
    </row>
    <row r="110" spans="1:48" ht="12.75">
      <c r="A110" s="1" t="s">
        <v>83</v>
      </c>
      <c r="B110" s="1" t="s">
        <v>101</v>
      </c>
      <c r="C110" s="1" t="s">
        <v>190</v>
      </c>
      <c r="D110" s="1" t="s">
        <v>303</v>
      </c>
      <c r="E110" s="1" t="s">
        <v>329</v>
      </c>
      <c r="F110" s="3" t="e">
        <f>'01-BOURACÍ PRÁCE'!#REF!</f>
        <v>#REF!</v>
      </c>
      <c r="G110" s="3" t="e">
        <f>'01-BOURACÍ PRÁCE'!#REF!</f>
        <v>#REF!</v>
      </c>
      <c r="H110" s="3" t="e">
        <f t="shared" si="82"/>
        <v>#REF!</v>
      </c>
      <c r="I110" s="3" t="e">
        <f t="shared" si="83"/>
        <v>#REF!</v>
      </c>
      <c r="J110" s="3" t="e">
        <f t="shared" si="84"/>
        <v>#REF!</v>
      </c>
      <c r="K110" s="3">
        <v>0.00085</v>
      </c>
      <c r="L110" s="3" t="e">
        <f t="shared" si="85"/>
        <v>#REF!</v>
      </c>
      <c r="M110" s="46" t="s">
        <v>380</v>
      </c>
      <c r="P110" s="49">
        <f t="shared" si="86"/>
        <v>0</v>
      </c>
      <c r="R110" s="49">
        <f t="shared" si="87"/>
        <v>0</v>
      </c>
      <c r="S110" s="49">
        <f t="shared" si="88"/>
        <v>0</v>
      </c>
      <c r="T110" s="49" t="e">
        <f t="shared" si="89"/>
        <v>#REF!</v>
      </c>
      <c r="U110" s="49" t="e">
        <f t="shared" si="90"/>
        <v>#REF!</v>
      </c>
      <c r="V110" s="49">
        <f t="shared" si="91"/>
        <v>0</v>
      </c>
      <c r="W110" s="49">
        <f t="shared" si="92"/>
        <v>0</v>
      </c>
      <c r="X110" s="49">
        <f t="shared" si="93"/>
        <v>0</v>
      </c>
      <c r="Y110" s="41" t="s">
        <v>101</v>
      </c>
      <c r="Z110" s="3">
        <f t="shared" si="94"/>
        <v>0</v>
      </c>
      <c r="AA110" s="3">
        <f t="shared" si="95"/>
        <v>0</v>
      </c>
      <c r="AB110" s="3" t="e">
        <f t="shared" si="96"/>
        <v>#REF!</v>
      </c>
      <c r="AD110" s="49">
        <v>21</v>
      </c>
      <c r="AE110" s="49" t="e">
        <f>G110*0.904023945861531</f>
        <v>#REF!</v>
      </c>
      <c r="AF110" s="49" t="e">
        <f>G110*(1-0.904023945861531)</f>
        <v>#REF!</v>
      </c>
      <c r="AG110" s="46" t="s">
        <v>13</v>
      </c>
      <c r="AM110" s="49" t="e">
        <f t="shared" si="97"/>
        <v>#REF!</v>
      </c>
      <c r="AN110" s="49" t="e">
        <f t="shared" si="98"/>
        <v>#REF!</v>
      </c>
      <c r="AO110" s="50" t="s">
        <v>407</v>
      </c>
      <c r="AP110" s="50" t="s">
        <v>417</v>
      </c>
      <c r="AQ110" s="41" t="s">
        <v>422</v>
      </c>
      <c r="AS110" s="49" t="e">
        <f t="shared" si="99"/>
        <v>#REF!</v>
      </c>
      <c r="AT110" s="49" t="e">
        <f t="shared" si="100"/>
        <v>#REF!</v>
      </c>
      <c r="AU110" s="49">
        <v>0</v>
      </c>
      <c r="AV110" s="49" t="e">
        <f t="shared" si="101"/>
        <v>#REF!</v>
      </c>
    </row>
    <row r="111" spans="1:48" ht="12.75">
      <c r="A111" s="1" t="s">
        <v>84</v>
      </c>
      <c r="B111" s="1" t="s">
        <v>101</v>
      </c>
      <c r="C111" s="1" t="s">
        <v>191</v>
      </c>
      <c r="D111" s="1" t="s">
        <v>304</v>
      </c>
      <c r="E111" s="1" t="s">
        <v>327</v>
      </c>
      <c r="F111" s="3" t="e">
        <f>'01-BOURACÍ PRÁCE'!#REF!</f>
        <v>#REF!</v>
      </c>
      <c r="G111" s="3" t="e">
        <f>'01-BOURACÍ PRÁCE'!#REF!</f>
        <v>#REF!</v>
      </c>
      <c r="H111" s="3" t="e">
        <f t="shared" si="82"/>
        <v>#REF!</v>
      </c>
      <c r="I111" s="3" t="e">
        <f t="shared" si="83"/>
        <v>#REF!</v>
      </c>
      <c r="J111" s="3" t="e">
        <f t="shared" si="84"/>
        <v>#REF!</v>
      </c>
      <c r="K111" s="3">
        <v>0.02794</v>
      </c>
      <c r="L111" s="3" t="e">
        <f t="shared" si="85"/>
        <v>#REF!</v>
      </c>
      <c r="M111" s="46" t="s">
        <v>380</v>
      </c>
      <c r="P111" s="49">
        <f t="shared" si="86"/>
        <v>0</v>
      </c>
      <c r="R111" s="49">
        <f t="shared" si="87"/>
        <v>0</v>
      </c>
      <c r="S111" s="49">
        <f t="shared" si="88"/>
        <v>0</v>
      </c>
      <c r="T111" s="49" t="e">
        <f t="shared" si="89"/>
        <v>#REF!</v>
      </c>
      <c r="U111" s="49" t="e">
        <f t="shared" si="90"/>
        <v>#REF!</v>
      </c>
      <c r="V111" s="49">
        <f t="shared" si="91"/>
        <v>0</v>
      </c>
      <c r="W111" s="49">
        <f t="shared" si="92"/>
        <v>0</v>
      </c>
      <c r="X111" s="49">
        <f t="shared" si="93"/>
        <v>0</v>
      </c>
      <c r="Y111" s="41" t="s">
        <v>101</v>
      </c>
      <c r="Z111" s="3">
        <f t="shared" si="94"/>
        <v>0</v>
      </c>
      <c r="AA111" s="3">
        <f t="shared" si="95"/>
        <v>0</v>
      </c>
      <c r="AB111" s="3" t="e">
        <f t="shared" si="96"/>
        <v>#REF!</v>
      </c>
      <c r="AD111" s="49">
        <v>21</v>
      </c>
      <c r="AE111" s="49" t="e">
        <f>G111*0.864864970645793</f>
        <v>#REF!</v>
      </c>
      <c r="AF111" s="49" t="e">
        <f>G111*(1-0.864864970645793)</f>
        <v>#REF!</v>
      </c>
      <c r="AG111" s="46" t="s">
        <v>13</v>
      </c>
      <c r="AM111" s="49" t="e">
        <f t="shared" si="97"/>
        <v>#REF!</v>
      </c>
      <c r="AN111" s="49" t="e">
        <f t="shared" si="98"/>
        <v>#REF!</v>
      </c>
      <c r="AO111" s="50" t="s">
        <v>407</v>
      </c>
      <c r="AP111" s="50" t="s">
        <v>417</v>
      </c>
      <c r="AQ111" s="41" t="s">
        <v>422</v>
      </c>
      <c r="AS111" s="49" t="e">
        <f t="shared" si="99"/>
        <v>#REF!</v>
      </c>
      <c r="AT111" s="49" t="e">
        <f t="shared" si="100"/>
        <v>#REF!</v>
      </c>
      <c r="AU111" s="49">
        <v>0</v>
      </c>
      <c r="AV111" s="49" t="e">
        <f t="shared" si="101"/>
        <v>#REF!</v>
      </c>
    </row>
    <row r="112" spans="1:48" ht="12.75">
      <c r="A112" s="1" t="s">
        <v>85</v>
      </c>
      <c r="B112" s="1" t="s">
        <v>101</v>
      </c>
      <c r="C112" s="1" t="s">
        <v>192</v>
      </c>
      <c r="D112" s="1" t="s">
        <v>305</v>
      </c>
      <c r="E112" s="1" t="s">
        <v>327</v>
      </c>
      <c r="F112" s="3" t="e">
        <f>'01-BOURACÍ PRÁCE'!#REF!</f>
        <v>#REF!</v>
      </c>
      <c r="G112" s="3" t="e">
        <f>'01-BOURACÍ PRÁCE'!#REF!</f>
        <v>#REF!</v>
      </c>
      <c r="H112" s="3" t="e">
        <f t="shared" si="82"/>
        <v>#REF!</v>
      </c>
      <c r="I112" s="3" t="e">
        <f t="shared" si="83"/>
        <v>#REF!</v>
      </c>
      <c r="J112" s="3" t="e">
        <f t="shared" si="84"/>
        <v>#REF!</v>
      </c>
      <c r="K112" s="3">
        <v>0.01535</v>
      </c>
      <c r="L112" s="3" t="e">
        <f t="shared" si="85"/>
        <v>#REF!</v>
      </c>
      <c r="M112" s="46" t="s">
        <v>380</v>
      </c>
      <c r="P112" s="49">
        <f t="shared" si="86"/>
        <v>0</v>
      </c>
      <c r="R112" s="49">
        <f t="shared" si="87"/>
        <v>0</v>
      </c>
      <c r="S112" s="49">
        <f t="shared" si="88"/>
        <v>0</v>
      </c>
      <c r="T112" s="49" t="e">
        <f t="shared" si="89"/>
        <v>#REF!</v>
      </c>
      <c r="U112" s="49" t="e">
        <f t="shared" si="90"/>
        <v>#REF!</v>
      </c>
      <c r="V112" s="49">
        <f t="shared" si="91"/>
        <v>0</v>
      </c>
      <c r="W112" s="49">
        <f t="shared" si="92"/>
        <v>0</v>
      </c>
      <c r="X112" s="49">
        <f t="shared" si="93"/>
        <v>0</v>
      </c>
      <c r="Y112" s="41" t="s">
        <v>101</v>
      </c>
      <c r="Z112" s="3">
        <f t="shared" si="94"/>
        <v>0</v>
      </c>
      <c r="AA112" s="3">
        <f t="shared" si="95"/>
        <v>0</v>
      </c>
      <c r="AB112" s="3" t="e">
        <f t="shared" si="96"/>
        <v>#REF!</v>
      </c>
      <c r="AD112" s="49">
        <v>21</v>
      </c>
      <c r="AE112" s="49" t="e">
        <f>G112*0.904776255707763</f>
        <v>#REF!</v>
      </c>
      <c r="AF112" s="49" t="e">
        <f>G112*(1-0.904776255707763)</f>
        <v>#REF!</v>
      </c>
      <c r="AG112" s="46" t="s">
        <v>13</v>
      </c>
      <c r="AM112" s="49" t="e">
        <f t="shared" si="97"/>
        <v>#REF!</v>
      </c>
      <c r="AN112" s="49" t="e">
        <f t="shared" si="98"/>
        <v>#REF!</v>
      </c>
      <c r="AO112" s="50" t="s">
        <v>407</v>
      </c>
      <c r="AP112" s="50" t="s">
        <v>417</v>
      </c>
      <c r="AQ112" s="41" t="s">
        <v>422</v>
      </c>
      <c r="AS112" s="49" t="e">
        <f t="shared" si="99"/>
        <v>#REF!</v>
      </c>
      <c r="AT112" s="49" t="e">
        <f t="shared" si="100"/>
        <v>#REF!</v>
      </c>
      <c r="AU112" s="49">
        <v>0</v>
      </c>
      <c r="AV112" s="49" t="e">
        <f t="shared" si="101"/>
        <v>#REF!</v>
      </c>
    </row>
    <row r="113" spans="1:48" ht="12.75">
      <c r="A113" s="1" t="s">
        <v>86</v>
      </c>
      <c r="B113" s="1" t="s">
        <v>101</v>
      </c>
      <c r="C113" s="1" t="s">
        <v>193</v>
      </c>
      <c r="D113" s="1" t="s">
        <v>306</v>
      </c>
      <c r="E113" s="1" t="s">
        <v>329</v>
      </c>
      <c r="F113" s="3" t="e">
        <f>'01-BOURACÍ PRÁCE'!#REF!</f>
        <v>#REF!</v>
      </c>
      <c r="G113" s="3" t="e">
        <f>'01-BOURACÍ PRÁCE'!#REF!</f>
        <v>#REF!</v>
      </c>
      <c r="H113" s="3" t="e">
        <f t="shared" si="82"/>
        <v>#REF!</v>
      </c>
      <c r="I113" s="3" t="e">
        <f t="shared" si="83"/>
        <v>#REF!</v>
      </c>
      <c r="J113" s="3" t="e">
        <f t="shared" si="84"/>
        <v>#REF!</v>
      </c>
      <c r="K113" s="3">
        <v>0.00018</v>
      </c>
      <c r="L113" s="3" t="e">
        <f t="shared" si="85"/>
        <v>#REF!</v>
      </c>
      <c r="M113" s="46" t="s">
        <v>380</v>
      </c>
      <c r="P113" s="49">
        <f t="shared" si="86"/>
        <v>0</v>
      </c>
      <c r="R113" s="49">
        <f t="shared" si="87"/>
        <v>0</v>
      </c>
      <c r="S113" s="49">
        <f t="shared" si="88"/>
        <v>0</v>
      </c>
      <c r="T113" s="49" t="e">
        <f t="shared" si="89"/>
        <v>#REF!</v>
      </c>
      <c r="U113" s="49" t="e">
        <f t="shared" si="90"/>
        <v>#REF!</v>
      </c>
      <c r="V113" s="49">
        <f t="shared" si="91"/>
        <v>0</v>
      </c>
      <c r="W113" s="49">
        <f t="shared" si="92"/>
        <v>0</v>
      </c>
      <c r="X113" s="49">
        <f t="shared" si="93"/>
        <v>0</v>
      </c>
      <c r="Y113" s="41" t="s">
        <v>101</v>
      </c>
      <c r="Z113" s="3">
        <f t="shared" si="94"/>
        <v>0</v>
      </c>
      <c r="AA113" s="3">
        <f t="shared" si="95"/>
        <v>0</v>
      </c>
      <c r="AB113" s="3" t="e">
        <f t="shared" si="96"/>
        <v>#REF!</v>
      </c>
      <c r="AD113" s="49">
        <v>21</v>
      </c>
      <c r="AE113" s="49" t="e">
        <f>G113*0.860954979536153</f>
        <v>#REF!</v>
      </c>
      <c r="AF113" s="49" t="e">
        <f>G113*(1-0.860954979536153)</f>
        <v>#REF!</v>
      </c>
      <c r="AG113" s="46" t="s">
        <v>13</v>
      </c>
      <c r="AM113" s="49" t="e">
        <f t="shared" si="97"/>
        <v>#REF!</v>
      </c>
      <c r="AN113" s="49" t="e">
        <f t="shared" si="98"/>
        <v>#REF!</v>
      </c>
      <c r="AO113" s="50" t="s">
        <v>407</v>
      </c>
      <c r="AP113" s="50" t="s">
        <v>417</v>
      </c>
      <c r="AQ113" s="41" t="s">
        <v>422</v>
      </c>
      <c r="AS113" s="49" t="e">
        <f t="shared" si="99"/>
        <v>#REF!</v>
      </c>
      <c r="AT113" s="49" t="e">
        <f t="shared" si="100"/>
        <v>#REF!</v>
      </c>
      <c r="AU113" s="49">
        <v>0</v>
      </c>
      <c r="AV113" s="49" t="e">
        <f t="shared" si="101"/>
        <v>#REF!</v>
      </c>
    </row>
    <row r="114" spans="1:48" ht="12.75">
      <c r="A114" s="1" t="s">
        <v>87</v>
      </c>
      <c r="B114" s="1" t="s">
        <v>101</v>
      </c>
      <c r="C114" s="1" t="s">
        <v>194</v>
      </c>
      <c r="D114" s="1" t="s">
        <v>307</v>
      </c>
      <c r="E114" s="1" t="s">
        <v>327</v>
      </c>
      <c r="F114" s="3" t="e">
        <f>'01-BOURACÍ PRÁCE'!#REF!</f>
        <v>#REF!</v>
      </c>
      <c r="G114" s="3" t="e">
        <f>'01-BOURACÍ PRÁCE'!#REF!</f>
        <v>#REF!</v>
      </c>
      <c r="H114" s="3" t="e">
        <f t="shared" si="82"/>
        <v>#REF!</v>
      </c>
      <c r="I114" s="3" t="e">
        <f t="shared" si="83"/>
        <v>#REF!</v>
      </c>
      <c r="J114" s="3" t="e">
        <f t="shared" si="84"/>
        <v>#REF!</v>
      </c>
      <c r="K114" s="3">
        <v>0.0011</v>
      </c>
      <c r="L114" s="3" t="e">
        <f t="shared" si="85"/>
        <v>#REF!</v>
      </c>
      <c r="M114" s="46" t="s">
        <v>380</v>
      </c>
      <c r="P114" s="49">
        <f t="shared" si="86"/>
        <v>0</v>
      </c>
      <c r="R114" s="49">
        <f t="shared" si="87"/>
        <v>0</v>
      </c>
      <c r="S114" s="49">
        <f t="shared" si="88"/>
        <v>0</v>
      </c>
      <c r="T114" s="49" t="e">
        <f t="shared" si="89"/>
        <v>#REF!</v>
      </c>
      <c r="U114" s="49" t="e">
        <f t="shared" si="90"/>
        <v>#REF!</v>
      </c>
      <c r="V114" s="49">
        <f t="shared" si="91"/>
        <v>0</v>
      </c>
      <c r="W114" s="49">
        <f t="shared" si="92"/>
        <v>0</v>
      </c>
      <c r="X114" s="49">
        <f t="shared" si="93"/>
        <v>0</v>
      </c>
      <c r="Y114" s="41" t="s">
        <v>101</v>
      </c>
      <c r="Z114" s="3">
        <f t="shared" si="94"/>
        <v>0</v>
      </c>
      <c r="AA114" s="3">
        <f t="shared" si="95"/>
        <v>0</v>
      </c>
      <c r="AB114" s="3" t="e">
        <f t="shared" si="96"/>
        <v>#REF!</v>
      </c>
      <c r="AD114" s="49">
        <v>21</v>
      </c>
      <c r="AE114" s="49" t="e">
        <f>G114*0.894171136653895</f>
        <v>#REF!</v>
      </c>
      <c r="AF114" s="49" t="e">
        <f>G114*(1-0.894171136653895)</f>
        <v>#REF!</v>
      </c>
      <c r="AG114" s="46" t="s">
        <v>13</v>
      </c>
      <c r="AM114" s="49" t="e">
        <f t="shared" si="97"/>
        <v>#REF!</v>
      </c>
      <c r="AN114" s="49" t="e">
        <f t="shared" si="98"/>
        <v>#REF!</v>
      </c>
      <c r="AO114" s="50" t="s">
        <v>407</v>
      </c>
      <c r="AP114" s="50" t="s">
        <v>417</v>
      </c>
      <c r="AQ114" s="41" t="s">
        <v>422</v>
      </c>
      <c r="AS114" s="49" t="e">
        <f t="shared" si="99"/>
        <v>#REF!</v>
      </c>
      <c r="AT114" s="49" t="e">
        <f t="shared" si="100"/>
        <v>#REF!</v>
      </c>
      <c r="AU114" s="49">
        <v>0</v>
      </c>
      <c r="AV114" s="49" t="e">
        <f t="shared" si="101"/>
        <v>#REF!</v>
      </c>
    </row>
    <row r="115" spans="1:37" ht="12.75">
      <c r="A115" s="24"/>
      <c r="B115" s="31" t="s">
        <v>101</v>
      </c>
      <c r="C115" s="31" t="s">
        <v>95</v>
      </c>
      <c r="D115" s="31" t="s">
        <v>308</v>
      </c>
      <c r="E115" s="24" t="s">
        <v>6</v>
      </c>
      <c r="F115" s="24" t="s">
        <v>6</v>
      </c>
      <c r="G115" s="24" t="s">
        <v>6</v>
      </c>
      <c r="H115" s="6" t="e">
        <f>SUM(H116:H116)</f>
        <v>#REF!</v>
      </c>
      <c r="I115" s="6" t="e">
        <f>SUM(I116:I116)</f>
        <v>#REF!</v>
      </c>
      <c r="J115" s="6" t="e">
        <f>H115+I115</f>
        <v>#REF!</v>
      </c>
      <c r="K115" s="41"/>
      <c r="L115" s="6" t="e">
        <f>SUM(L116:L116)</f>
        <v>#REF!</v>
      </c>
      <c r="M115" s="41"/>
      <c r="Y115" s="41" t="s">
        <v>101</v>
      </c>
      <c r="AI115" s="6">
        <f>SUM(Z116:Z116)</f>
        <v>0</v>
      </c>
      <c r="AJ115" s="6">
        <f>SUM(AA116:AA116)</f>
        <v>0</v>
      </c>
      <c r="AK115" s="6" t="e">
        <f>SUM(AB116:AB116)</f>
        <v>#REF!</v>
      </c>
    </row>
    <row r="116" spans="1:48" ht="12.75">
      <c r="A116" s="1" t="s">
        <v>88</v>
      </c>
      <c r="B116" s="1" t="s">
        <v>101</v>
      </c>
      <c r="C116" s="1" t="s">
        <v>195</v>
      </c>
      <c r="D116" s="1" t="s">
        <v>309</v>
      </c>
      <c r="E116" s="1" t="s">
        <v>328</v>
      </c>
      <c r="F116" s="3" t="e">
        <f>'01-BOURACÍ PRÁCE'!#REF!</f>
        <v>#REF!</v>
      </c>
      <c r="G116" s="3" t="e">
        <f>'01-BOURACÍ PRÁCE'!#REF!</f>
        <v>#REF!</v>
      </c>
      <c r="H116" s="3" t="e">
        <f>F116*AE116</f>
        <v>#REF!</v>
      </c>
      <c r="I116" s="3" t="e">
        <f>J116-H116</f>
        <v>#REF!</v>
      </c>
      <c r="J116" s="3" t="e">
        <f>F116*G116</f>
        <v>#REF!</v>
      </c>
      <c r="K116" s="3">
        <v>0</v>
      </c>
      <c r="L116" s="3" t="e">
        <f>F116*K116</f>
        <v>#REF!</v>
      </c>
      <c r="M116" s="46" t="s">
        <v>380</v>
      </c>
      <c r="P116" s="49">
        <f>IF(AG116="5",J116,0)</f>
        <v>0</v>
      </c>
      <c r="R116" s="49" t="e">
        <f>IF(AG116="1",H116,0)</f>
        <v>#REF!</v>
      </c>
      <c r="S116" s="49" t="e">
        <f>IF(AG116="1",I116,0)</f>
        <v>#REF!</v>
      </c>
      <c r="T116" s="49">
        <f>IF(AG116="7",H116,0)</f>
        <v>0</v>
      </c>
      <c r="U116" s="49">
        <f>IF(AG116="7",I116,0)</f>
        <v>0</v>
      </c>
      <c r="V116" s="49">
        <f>IF(AG116="2",H116,0)</f>
        <v>0</v>
      </c>
      <c r="W116" s="49">
        <f>IF(AG116="2",I116,0)</f>
        <v>0</v>
      </c>
      <c r="X116" s="49">
        <f>IF(AG116="0",J116,0)</f>
        <v>0</v>
      </c>
      <c r="Y116" s="41" t="s">
        <v>101</v>
      </c>
      <c r="Z116" s="3">
        <f>IF(AD116=0,J116,0)</f>
        <v>0</v>
      </c>
      <c r="AA116" s="3">
        <f>IF(AD116=15,J116,0)</f>
        <v>0</v>
      </c>
      <c r="AB116" s="3" t="e">
        <f>IF(AD116=21,J116,0)</f>
        <v>#REF!</v>
      </c>
      <c r="AD116" s="49">
        <v>21</v>
      </c>
      <c r="AE116" s="49" t="e">
        <f>G116*0.0595833333333333</f>
        <v>#REF!</v>
      </c>
      <c r="AF116" s="49" t="e">
        <f>G116*(1-0.0595833333333333)</f>
        <v>#REF!</v>
      </c>
      <c r="AG116" s="46" t="s">
        <v>7</v>
      </c>
      <c r="AM116" s="49" t="e">
        <f>F116*AE116</f>
        <v>#REF!</v>
      </c>
      <c r="AN116" s="49" t="e">
        <f>F116*AF116</f>
        <v>#REF!</v>
      </c>
      <c r="AO116" s="50" t="s">
        <v>408</v>
      </c>
      <c r="AP116" s="50" t="s">
        <v>418</v>
      </c>
      <c r="AQ116" s="41" t="s">
        <v>422</v>
      </c>
      <c r="AS116" s="49" t="e">
        <f>AM116+AN116</f>
        <v>#REF!</v>
      </c>
      <c r="AT116" s="49" t="e">
        <f>G116/(100-AU116)*100</f>
        <v>#REF!</v>
      </c>
      <c r="AU116" s="49">
        <v>0</v>
      </c>
      <c r="AV116" s="49" t="e">
        <f>L116</f>
        <v>#REF!</v>
      </c>
    </row>
    <row r="117" spans="1:37" ht="12.75">
      <c r="A117" s="24"/>
      <c r="B117" s="31" t="s">
        <v>101</v>
      </c>
      <c r="C117" s="31" t="s">
        <v>196</v>
      </c>
      <c r="D117" s="31" t="s">
        <v>310</v>
      </c>
      <c r="E117" s="24" t="s">
        <v>6</v>
      </c>
      <c r="F117" s="24" t="s">
        <v>6</v>
      </c>
      <c r="G117" s="24" t="s">
        <v>6</v>
      </c>
      <c r="H117" s="6" t="e">
        <f>SUM(H118:H126)</f>
        <v>#REF!</v>
      </c>
      <c r="I117" s="6" t="e">
        <f>SUM(I118:I126)</f>
        <v>#REF!</v>
      </c>
      <c r="J117" s="6" t="e">
        <f>H117+I117</f>
        <v>#REF!</v>
      </c>
      <c r="K117" s="41"/>
      <c r="L117" s="6" t="e">
        <f>SUM(L118:L126)</f>
        <v>#REF!</v>
      </c>
      <c r="M117" s="41"/>
      <c r="Y117" s="41" t="s">
        <v>101</v>
      </c>
      <c r="AI117" s="6">
        <f>SUM(Z118:Z126)</f>
        <v>0</v>
      </c>
      <c r="AJ117" s="6">
        <f>SUM(AA118:AA126)</f>
        <v>0</v>
      </c>
      <c r="AK117" s="6" t="e">
        <f>SUM(AB118:AB126)</f>
        <v>#REF!</v>
      </c>
    </row>
    <row r="118" spans="1:48" ht="12.75">
      <c r="A118" s="1" t="s">
        <v>89</v>
      </c>
      <c r="B118" s="1" t="s">
        <v>101</v>
      </c>
      <c r="C118" s="1" t="s">
        <v>197</v>
      </c>
      <c r="D118" s="1" t="s">
        <v>311</v>
      </c>
      <c r="E118" s="1" t="s">
        <v>328</v>
      </c>
      <c r="F118" s="3" t="e">
        <f>'01-BOURACÍ PRÁCE'!#REF!</f>
        <v>#REF!</v>
      </c>
      <c r="G118" s="3" t="e">
        <f>'01-BOURACÍ PRÁCE'!#REF!</f>
        <v>#REF!</v>
      </c>
      <c r="H118" s="3" t="e">
        <f aca="true" t="shared" si="102" ref="H118:H126">F118*AE118</f>
        <v>#REF!</v>
      </c>
      <c r="I118" s="3" t="e">
        <f aca="true" t="shared" si="103" ref="I118:I126">J118-H118</f>
        <v>#REF!</v>
      </c>
      <c r="J118" s="3" t="e">
        <f aca="true" t="shared" si="104" ref="J118:J126">F118*G118</f>
        <v>#REF!</v>
      </c>
      <c r="K118" s="3">
        <v>0.00016</v>
      </c>
      <c r="L118" s="3" t="e">
        <f aca="true" t="shared" si="105" ref="L118:L126">F118*K118</f>
        <v>#REF!</v>
      </c>
      <c r="M118" s="46" t="s">
        <v>380</v>
      </c>
      <c r="P118" s="49">
        <f aca="true" t="shared" si="106" ref="P118:P126">IF(AG118="5",J118,0)</f>
        <v>0</v>
      </c>
      <c r="R118" s="49">
        <f aca="true" t="shared" si="107" ref="R118:R126">IF(AG118="1",H118,0)</f>
        <v>0</v>
      </c>
      <c r="S118" s="49">
        <f aca="true" t="shared" si="108" ref="S118:S126">IF(AG118="1",I118,0)</f>
        <v>0</v>
      </c>
      <c r="T118" s="49">
        <f aca="true" t="shared" si="109" ref="T118:T126">IF(AG118="7",H118,0)</f>
        <v>0</v>
      </c>
      <c r="U118" s="49">
        <f aca="true" t="shared" si="110" ref="U118:U126">IF(AG118="7",I118,0)</f>
        <v>0</v>
      </c>
      <c r="V118" s="49" t="e">
        <f aca="true" t="shared" si="111" ref="V118:V126">IF(AG118="2",H118,0)</f>
        <v>#REF!</v>
      </c>
      <c r="W118" s="49" t="e">
        <f aca="true" t="shared" si="112" ref="W118:W126">IF(AG118="2",I118,0)</f>
        <v>#REF!</v>
      </c>
      <c r="X118" s="49">
        <f aca="true" t="shared" si="113" ref="X118:X126">IF(AG118="0",J118,0)</f>
        <v>0</v>
      </c>
      <c r="Y118" s="41" t="s">
        <v>101</v>
      </c>
      <c r="Z118" s="3">
        <f aca="true" t="shared" si="114" ref="Z118:Z126">IF(AD118=0,J118,0)</f>
        <v>0</v>
      </c>
      <c r="AA118" s="3">
        <f aca="true" t="shared" si="115" ref="AA118:AA126">IF(AD118=15,J118,0)</f>
        <v>0</v>
      </c>
      <c r="AB118" s="3" t="e">
        <f aca="true" t="shared" si="116" ref="AB118:AB126">IF(AD118=21,J118,0)</f>
        <v>#REF!</v>
      </c>
      <c r="AD118" s="49">
        <v>21</v>
      </c>
      <c r="AE118" s="49" t="e">
        <f>G118*0.24177449168207</f>
        <v>#REF!</v>
      </c>
      <c r="AF118" s="49" t="e">
        <f>G118*(1-0.24177449168207)</f>
        <v>#REF!</v>
      </c>
      <c r="AG118" s="46" t="s">
        <v>8</v>
      </c>
      <c r="AM118" s="49" t="e">
        <f aca="true" t="shared" si="117" ref="AM118:AM126">F118*AE118</f>
        <v>#REF!</v>
      </c>
      <c r="AN118" s="49" t="e">
        <f aca="true" t="shared" si="118" ref="AN118:AN126">F118*AF118</f>
        <v>#REF!</v>
      </c>
      <c r="AO118" s="50" t="s">
        <v>409</v>
      </c>
      <c r="AP118" s="50" t="s">
        <v>419</v>
      </c>
      <c r="AQ118" s="41" t="s">
        <v>422</v>
      </c>
      <c r="AS118" s="49" t="e">
        <f aca="true" t="shared" si="119" ref="AS118:AS126">AM118+AN118</f>
        <v>#REF!</v>
      </c>
      <c r="AT118" s="49" t="e">
        <f aca="true" t="shared" si="120" ref="AT118:AT126">G118/(100-AU118)*100</f>
        <v>#REF!</v>
      </c>
      <c r="AU118" s="49">
        <v>0</v>
      </c>
      <c r="AV118" s="49" t="e">
        <f aca="true" t="shared" si="121" ref="AV118:AV126">L118</f>
        <v>#REF!</v>
      </c>
    </row>
    <row r="119" spans="1:48" ht="12.75">
      <c r="A119" s="1" t="s">
        <v>90</v>
      </c>
      <c r="B119" s="1" t="s">
        <v>101</v>
      </c>
      <c r="C119" s="1" t="s">
        <v>198</v>
      </c>
      <c r="D119" s="1" t="s">
        <v>312</v>
      </c>
      <c r="E119" s="1" t="s">
        <v>328</v>
      </c>
      <c r="F119" s="3" t="e">
        <f>'01-BOURACÍ PRÁCE'!#REF!</f>
        <v>#REF!</v>
      </c>
      <c r="G119" s="3" t="e">
        <f>'01-BOURACÍ PRÁCE'!#REF!</f>
        <v>#REF!</v>
      </c>
      <c r="H119" s="3" t="e">
        <f t="shared" si="102"/>
        <v>#REF!</v>
      </c>
      <c r="I119" s="3" t="e">
        <f t="shared" si="103"/>
        <v>#REF!</v>
      </c>
      <c r="J119" s="3" t="e">
        <f t="shared" si="104"/>
        <v>#REF!</v>
      </c>
      <c r="K119" s="3">
        <v>0.00023</v>
      </c>
      <c r="L119" s="3" t="e">
        <f t="shared" si="105"/>
        <v>#REF!</v>
      </c>
      <c r="M119" s="46" t="s">
        <v>380</v>
      </c>
      <c r="P119" s="49">
        <f t="shared" si="106"/>
        <v>0</v>
      </c>
      <c r="R119" s="49">
        <f t="shared" si="107"/>
        <v>0</v>
      </c>
      <c r="S119" s="49">
        <f t="shared" si="108"/>
        <v>0</v>
      </c>
      <c r="T119" s="49">
        <f t="shared" si="109"/>
        <v>0</v>
      </c>
      <c r="U119" s="49">
        <f t="shared" si="110"/>
        <v>0</v>
      </c>
      <c r="V119" s="49" t="e">
        <f t="shared" si="111"/>
        <v>#REF!</v>
      </c>
      <c r="W119" s="49" t="e">
        <f t="shared" si="112"/>
        <v>#REF!</v>
      </c>
      <c r="X119" s="49">
        <f t="shared" si="113"/>
        <v>0</v>
      </c>
      <c r="Y119" s="41" t="s">
        <v>101</v>
      </c>
      <c r="Z119" s="3">
        <f t="shared" si="114"/>
        <v>0</v>
      </c>
      <c r="AA119" s="3">
        <f t="shared" si="115"/>
        <v>0</v>
      </c>
      <c r="AB119" s="3" t="e">
        <f t="shared" si="116"/>
        <v>#REF!</v>
      </c>
      <c r="AD119" s="49">
        <v>21</v>
      </c>
      <c r="AE119" s="49" t="e">
        <f>G119*0.340353697749196</f>
        <v>#REF!</v>
      </c>
      <c r="AF119" s="49" t="e">
        <f>G119*(1-0.340353697749196)</f>
        <v>#REF!</v>
      </c>
      <c r="AG119" s="46" t="s">
        <v>8</v>
      </c>
      <c r="AM119" s="49" t="e">
        <f t="shared" si="117"/>
        <v>#REF!</v>
      </c>
      <c r="AN119" s="49" t="e">
        <f t="shared" si="118"/>
        <v>#REF!</v>
      </c>
      <c r="AO119" s="50" t="s">
        <v>409</v>
      </c>
      <c r="AP119" s="50" t="s">
        <v>419</v>
      </c>
      <c r="AQ119" s="41" t="s">
        <v>422</v>
      </c>
      <c r="AS119" s="49" t="e">
        <f t="shared" si="119"/>
        <v>#REF!</v>
      </c>
      <c r="AT119" s="49" t="e">
        <f t="shared" si="120"/>
        <v>#REF!</v>
      </c>
      <c r="AU119" s="49">
        <v>0</v>
      </c>
      <c r="AV119" s="49" t="e">
        <f t="shared" si="121"/>
        <v>#REF!</v>
      </c>
    </row>
    <row r="120" spans="1:48" ht="12.75">
      <c r="A120" s="1" t="s">
        <v>91</v>
      </c>
      <c r="B120" s="1" t="s">
        <v>101</v>
      </c>
      <c r="C120" s="1" t="s">
        <v>199</v>
      </c>
      <c r="D120" s="1" t="s">
        <v>313</v>
      </c>
      <c r="E120" s="1" t="s">
        <v>332</v>
      </c>
      <c r="F120" s="3" t="e">
        <f>'01-BOURACÍ PRÁCE'!#REF!</f>
        <v>#REF!</v>
      </c>
      <c r="G120" s="3" t="e">
        <f>'01-BOURACÍ PRÁCE'!#REF!</f>
        <v>#REF!</v>
      </c>
      <c r="H120" s="3" t="e">
        <f t="shared" si="102"/>
        <v>#REF!</v>
      </c>
      <c r="I120" s="3" t="e">
        <f t="shared" si="103"/>
        <v>#REF!</v>
      </c>
      <c r="J120" s="3" t="e">
        <f t="shared" si="104"/>
        <v>#REF!</v>
      </c>
      <c r="K120" s="3">
        <v>0</v>
      </c>
      <c r="L120" s="3" t="e">
        <f t="shared" si="105"/>
        <v>#REF!</v>
      </c>
      <c r="M120" s="46" t="s">
        <v>380</v>
      </c>
      <c r="P120" s="49">
        <f t="shared" si="106"/>
        <v>0</v>
      </c>
      <c r="R120" s="49">
        <f t="shared" si="107"/>
        <v>0</v>
      </c>
      <c r="S120" s="49">
        <f t="shared" si="108"/>
        <v>0</v>
      </c>
      <c r="T120" s="49">
        <f t="shared" si="109"/>
        <v>0</v>
      </c>
      <c r="U120" s="49">
        <f t="shared" si="110"/>
        <v>0</v>
      </c>
      <c r="V120" s="49" t="e">
        <f t="shared" si="111"/>
        <v>#REF!</v>
      </c>
      <c r="W120" s="49" t="e">
        <f t="shared" si="112"/>
        <v>#REF!</v>
      </c>
      <c r="X120" s="49">
        <f t="shared" si="113"/>
        <v>0</v>
      </c>
      <c r="Y120" s="41" t="s">
        <v>101</v>
      </c>
      <c r="Z120" s="3">
        <f t="shared" si="114"/>
        <v>0</v>
      </c>
      <c r="AA120" s="3">
        <f t="shared" si="115"/>
        <v>0</v>
      </c>
      <c r="AB120" s="3" t="e">
        <f t="shared" si="116"/>
        <v>#REF!</v>
      </c>
      <c r="AD120" s="49">
        <v>21</v>
      </c>
      <c r="AE120" s="49" t="e">
        <f>G120*1</f>
        <v>#REF!</v>
      </c>
      <c r="AF120" s="49" t="e">
        <f>G120*(1-1)</f>
        <v>#REF!</v>
      </c>
      <c r="AG120" s="46" t="s">
        <v>8</v>
      </c>
      <c r="AM120" s="49" t="e">
        <f t="shared" si="117"/>
        <v>#REF!</v>
      </c>
      <c r="AN120" s="49" t="e">
        <f t="shared" si="118"/>
        <v>#REF!</v>
      </c>
      <c r="AO120" s="50" t="s">
        <v>409</v>
      </c>
      <c r="AP120" s="50" t="s">
        <v>419</v>
      </c>
      <c r="AQ120" s="41" t="s">
        <v>422</v>
      </c>
      <c r="AS120" s="49" t="e">
        <f t="shared" si="119"/>
        <v>#REF!</v>
      </c>
      <c r="AT120" s="49" t="e">
        <f t="shared" si="120"/>
        <v>#REF!</v>
      </c>
      <c r="AU120" s="49">
        <v>0</v>
      </c>
      <c r="AV120" s="49" t="e">
        <f t="shared" si="121"/>
        <v>#REF!</v>
      </c>
    </row>
    <row r="121" spans="1:48" ht="12.75">
      <c r="A121" s="1" t="s">
        <v>92</v>
      </c>
      <c r="B121" s="1" t="s">
        <v>101</v>
      </c>
      <c r="C121" s="1" t="s">
        <v>200</v>
      </c>
      <c r="D121" s="1" t="s">
        <v>314</v>
      </c>
      <c r="E121" s="1" t="s">
        <v>332</v>
      </c>
      <c r="F121" s="3" t="e">
        <f>'01-BOURACÍ PRÁCE'!#REF!</f>
        <v>#REF!</v>
      </c>
      <c r="G121" s="3" t="e">
        <f>'01-BOURACÍ PRÁCE'!#REF!</f>
        <v>#REF!</v>
      </c>
      <c r="H121" s="3" t="e">
        <f t="shared" si="102"/>
        <v>#REF!</v>
      </c>
      <c r="I121" s="3" t="e">
        <f t="shared" si="103"/>
        <v>#REF!</v>
      </c>
      <c r="J121" s="3" t="e">
        <f t="shared" si="104"/>
        <v>#REF!</v>
      </c>
      <c r="K121" s="3">
        <v>0</v>
      </c>
      <c r="L121" s="3" t="e">
        <f t="shared" si="105"/>
        <v>#REF!</v>
      </c>
      <c r="M121" s="46" t="s">
        <v>380</v>
      </c>
      <c r="P121" s="49">
        <f t="shared" si="106"/>
        <v>0</v>
      </c>
      <c r="R121" s="49">
        <f t="shared" si="107"/>
        <v>0</v>
      </c>
      <c r="S121" s="49">
        <f t="shared" si="108"/>
        <v>0</v>
      </c>
      <c r="T121" s="49">
        <f t="shared" si="109"/>
        <v>0</v>
      </c>
      <c r="U121" s="49">
        <f t="shared" si="110"/>
        <v>0</v>
      </c>
      <c r="V121" s="49" t="e">
        <f t="shared" si="111"/>
        <v>#REF!</v>
      </c>
      <c r="W121" s="49" t="e">
        <f t="shared" si="112"/>
        <v>#REF!</v>
      </c>
      <c r="X121" s="49">
        <f t="shared" si="113"/>
        <v>0</v>
      </c>
      <c r="Y121" s="41" t="s">
        <v>101</v>
      </c>
      <c r="Z121" s="3">
        <f t="shared" si="114"/>
        <v>0</v>
      </c>
      <c r="AA121" s="3">
        <f t="shared" si="115"/>
        <v>0</v>
      </c>
      <c r="AB121" s="3" t="e">
        <f t="shared" si="116"/>
        <v>#REF!</v>
      </c>
      <c r="AD121" s="49">
        <v>21</v>
      </c>
      <c r="AE121" s="49" t="e">
        <f>G121*1</f>
        <v>#REF!</v>
      </c>
      <c r="AF121" s="49" t="e">
        <f>G121*(1-1)</f>
        <v>#REF!</v>
      </c>
      <c r="AG121" s="46" t="s">
        <v>8</v>
      </c>
      <c r="AM121" s="49" t="e">
        <f t="shared" si="117"/>
        <v>#REF!</v>
      </c>
      <c r="AN121" s="49" t="e">
        <f t="shared" si="118"/>
        <v>#REF!</v>
      </c>
      <c r="AO121" s="50" t="s">
        <v>409</v>
      </c>
      <c r="AP121" s="50" t="s">
        <v>419</v>
      </c>
      <c r="AQ121" s="41" t="s">
        <v>422</v>
      </c>
      <c r="AS121" s="49" t="e">
        <f t="shared" si="119"/>
        <v>#REF!</v>
      </c>
      <c r="AT121" s="49" t="e">
        <f t="shared" si="120"/>
        <v>#REF!</v>
      </c>
      <c r="AU121" s="49">
        <v>0</v>
      </c>
      <c r="AV121" s="49" t="e">
        <f t="shared" si="121"/>
        <v>#REF!</v>
      </c>
    </row>
    <row r="122" spans="1:48" ht="12.75">
      <c r="A122" s="1" t="s">
        <v>93</v>
      </c>
      <c r="B122" s="1" t="s">
        <v>101</v>
      </c>
      <c r="C122" s="1" t="s">
        <v>201</v>
      </c>
      <c r="D122" s="1" t="s">
        <v>315</v>
      </c>
      <c r="E122" s="1" t="s">
        <v>332</v>
      </c>
      <c r="F122" s="3" t="e">
        <f>'01-BOURACÍ PRÁCE'!#REF!</f>
        <v>#REF!</v>
      </c>
      <c r="G122" s="3" t="e">
        <f>'01-BOURACÍ PRÁCE'!#REF!</f>
        <v>#REF!</v>
      </c>
      <c r="H122" s="3" t="e">
        <f t="shared" si="102"/>
        <v>#REF!</v>
      </c>
      <c r="I122" s="3" t="e">
        <f t="shared" si="103"/>
        <v>#REF!</v>
      </c>
      <c r="J122" s="3" t="e">
        <f t="shared" si="104"/>
        <v>#REF!</v>
      </c>
      <c r="K122" s="3">
        <v>0</v>
      </c>
      <c r="L122" s="3" t="e">
        <f t="shared" si="105"/>
        <v>#REF!</v>
      </c>
      <c r="M122" s="46" t="s">
        <v>380</v>
      </c>
      <c r="P122" s="49">
        <f t="shared" si="106"/>
        <v>0</v>
      </c>
      <c r="R122" s="49">
        <f t="shared" si="107"/>
        <v>0</v>
      </c>
      <c r="S122" s="49">
        <f t="shared" si="108"/>
        <v>0</v>
      </c>
      <c r="T122" s="49">
        <f t="shared" si="109"/>
        <v>0</v>
      </c>
      <c r="U122" s="49">
        <f t="shared" si="110"/>
        <v>0</v>
      </c>
      <c r="V122" s="49" t="e">
        <f t="shared" si="111"/>
        <v>#REF!</v>
      </c>
      <c r="W122" s="49" t="e">
        <f t="shared" si="112"/>
        <v>#REF!</v>
      </c>
      <c r="X122" s="49">
        <f t="shared" si="113"/>
        <v>0</v>
      </c>
      <c r="Y122" s="41" t="s">
        <v>101</v>
      </c>
      <c r="Z122" s="3">
        <f t="shared" si="114"/>
        <v>0</v>
      </c>
      <c r="AA122" s="3">
        <f t="shared" si="115"/>
        <v>0</v>
      </c>
      <c r="AB122" s="3" t="e">
        <f t="shared" si="116"/>
        <v>#REF!</v>
      </c>
      <c r="AD122" s="49">
        <v>21</v>
      </c>
      <c r="AE122" s="49" t="e">
        <f>G122*1</f>
        <v>#REF!</v>
      </c>
      <c r="AF122" s="49" t="e">
        <f>G122*(1-1)</f>
        <v>#REF!</v>
      </c>
      <c r="AG122" s="46" t="s">
        <v>8</v>
      </c>
      <c r="AM122" s="49" t="e">
        <f t="shared" si="117"/>
        <v>#REF!</v>
      </c>
      <c r="AN122" s="49" t="e">
        <f t="shared" si="118"/>
        <v>#REF!</v>
      </c>
      <c r="AO122" s="50" t="s">
        <v>409</v>
      </c>
      <c r="AP122" s="50" t="s">
        <v>419</v>
      </c>
      <c r="AQ122" s="41" t="s">
        <v>422</v>
      </c>
      <c r="AS122" s="49" t="e">
        <f t="shared" si="119"/>
        <v>#REF!</v>
      </c>
      <c r="AT122" s="49" t="e">
        <f t="shared" si="120"/>
        <v>#REF!</v>
      </c>
      <c r="AU122" s="49">
        <v>0</v>
      </c>
      <c r="AV122" s="49" t="e">
        <f t="shared" si="121"/>
        <v>#REF!</v>
      </c>
    </row>
    <row r="123" spans="1:48" ht="12.75">
      <c r="A123" s="1" t="s">
        <v>94</v>
      </c>
      <c r="B123" s="1" t="s">
        <v>101</v>
      </c>
      <c r="C123" s="1" t="s">
        <v>202</v>
      </c>
      <c r="D123" s="1" t="s">
        <v>316</v>
      </c>
      <c r="E123" s="1" t="s">
        <v>326</v>
      </c>
      <c r="F123" s="3" t="e">
        <f>'01-BOURACÍ PRÁCE'!#REF!</f>
        <v>#REF!</v>
      </c>
      <c r="G123" s="3" t="e">
        <f>'01-BOURACÍ PRÁCE'!#REF!</f>
        <v>#REF!</v>
      </c>
      <c r="H123" s="3" t="e">
        <f t="shared" si="102"/>
        <v>#REF!</v>
      </c>
      <c r="I123" s="3" t="e">
        <f t="shared" si="103"/>
        <v>#REF!</v>
      </c>
      <c r="J123" s="3" t="e">
        <f t="shared" si="104"/>
        <v>#REF!</v>
      </c>
      <c r="K123" s="3">
        <v>0</v>
      </c>
      <c r="L123" s="3" t="e">
        <f t="shared" si="105"/>
        <v>#REF!</v>
      </c>
      <c r="M123" s="46" t="s">
        <v>380</v>
      </c>
      <c r="P123" s="49">
        <f t="shared" si="106"/>
        <v>0</v>
      </c>
      <c r="R123" s="49">
        <f t="shared" si="107"/>
        <v>0</v>
      </c>
      <c r="S123" s="49">
        <f t="shared" si="108"/>
        <v>0</v>
      </c>
      <c r="T123" s="49">
        <f t="shared" si="109"/>
        <v>0</v>
      </c>
      <c r="U123" s="49">
        <f t="shared" si="110"/>
        <v>0</v>
      </c>
      <c r="V123" s="49" t="e">
        <f t="shared" si="111"/>
        <v>#REF!</v>
      </c>
      <c r="W123" s="49" t="e">
        <f t="shared" si="112"/>
        <v>#REF!</v>
      </c>
      <c r="X123" s="49">
        <f t="shared" si="113"/>
        <v>0</v>
      </c>
      <c r="Y123" s="41" t="s">
        <v>101</v>
      </c>
      <c r="Z123" s="3">
        <f t="shared" si="114"/>
        <v>0</v>
      </c>
      <c r="AA123" s="3">
        <f t="shared" si="115"/>
        <v>0</v>
      </c>
      <c r="AB123" s="3" t="e">
        <f t="shared" si="116"/>
        <v>#REF!</v>
      </c>
      <c r="AD123" s="49">
        <v>21</v>
      </c>
      <c r="AE123" s="49" t="e">
        <f>G123*0</f>
        <v>#REF!</v>
      </c>
      <c r="AF123" s="49" t="e">
        <f>G123*(1-0)</f>
        <v>#REF!</v>
      </c>
      <c r="AG123" s="46" t="s">
        <v>8</v>
      </c>
      <c r="AM123" s="49" t="e">
        <f t="shared" si="117"/>
        <v>#REF!</v>
      </c>
      <c r="AN123" s="49" t="e">
        <f t="shared" si="118"/>
        <v>#REF!</v>
      </c>
      <c r="AO123" s="50" t="s">
        <v>409</v>
      </c>
      <c r="AP123" s="50" t="s">
        <v>419</v>
      </c>
      <c r="AQ123" s="41" t="s">
        <v>422</v>
      </c>
      <c r="AS123" s="49" t="e">
        <f t="shared" si="119"/>
        <v>#REF!</v>
      </c>
      <c r="AT123" s="49" t="e">
        <f t="shared" si="120"/>
        <v>#REF!</v>
      </c>
      <c r="AU123" s="49">
        <v>0</v>
      </c>
      <c r="AV123" s="49" t="e">
        <f t="shared" si="121"/>
        <v>#REF!</v>
      </c>
    </row>
    <row r="124" spans="1:48" ht="12.75">
      <c r="A124" s="1" t="s">
        <v>95</v>
      </c>
      <c r="B124" s="1" t="s">
        <v>101</v>
      </c>
      <c r="C124" s="1" t="s">
        <v>203</v>
      </c>
      <c r="D124" s="1" t="s">
        <v>317</v>
      </c>
      <c r="E124" s="1" t="s">
        <v>326</v>
      </c>
      <c r="F124" s="3" t="e">
        <f>'01-BOURACÍ PRÁCE'!#REF!</f>
        <v>#REF!</v>
      </c>
      <c r="G124" s="3" t="e">
        <f>'01-BOURACÍ PRÁCE'!#REF!</f>
        <v>#REF!</v>
      </c>
      <c r="H124" s="3" t="e">
        <f t="shared" si="102"/>
        <v>#REF!</v>
      </c>
      <c r="I124" s="3" t="e">
        <f t="shared" si="103"/>
        <v>#REF!</v>
      </c>
      <c r="J124" s="3" t="e">
        <f t="shared" si="104"/>
        <v>#REF!</v>
      </c>
      <c r="K124" s="3">
        <v>0</v>
      </c>
      <c r="L124" s="3" t="e">
        <f t="shared" si="105"/>
        <v>#REF!</v>
      </c>
      <c r="M124" s="46" t="s">
        <v>380</v>
      </c>
      <c r="P124" s="49">
        <f t="shared" si="106"/>
        <v>0</v>
      </c>
      <c r="R124" s="49">
        <f t="shared" si="107"/>
        <v>0</v>
      </c>
      <c r="S124" s="49">
        <f t="shared" si="108"/>
        <v>0</v>
      </c>
      <c r="T124" s="49">
        <f t="shared" si="109"/>
        <v>0</v>
      </c>
      <c r="U124" s="49">
        <f t="shared" si="110"/>
        <v>0</v>
      </c>
      <c r="V124" s="49" t="e">
        <f t="shared" si="111"/>
        <v>#REF!</v>
      </c>
      <c r="W124" s="49" t="e">
        <f t="shared" si="112"/>
        <v>#REF!</v>
      </c>
      <c r="X124" s="49">
        <f t="shared" si="113"/>
        <v>0</v>
      </c>
      <c r="Y124" s="41" t="s">
        <v>101</v>
      </c>
      <c r="Z124" s="3">
        <f t="shared" si="114"/>
        <v>0</v>
      </c>
      <c r="AA124" s="3">
        <f t="shared" si="115"/>
        <v>0</v>
      </c>
      <c r="AB124" s="3" t="e">
        <f t="shared" si="116"/>
        <v>#REF!</v>
      </c>
      <c r="AD124" s="49">
        <v>21</v>
      </c>
      <c r="AE124" s="49" t="e">
        <f>G124*1</f>
        <v>#REF!</v>
      </c>
      <c r="AF124" s="49" t="e">
        <f>G124*(1-1)</f>
        <v>#REF!</v>
      </c>
      <c r="AG124" s="46" t="s">
        <v>8</v>
      </c>
      <c r="AM124" s="49" t="e">
        <f t="shared" si="117"/>
        <v>#REF!</v>
      </c>
      <c r="AN124" s="49" t="e">
        <f t="shared" si="118"/>
        <v>#REF!</v>
      </c>
      <c r="AO124" s="50" t="s">
        <v>409</v>
      </c>
      <c r="AP124" s="50" t="s">
        <v>419</v>
      </c>
      <c r="AQ124" s="41" t="s">
        <v>422</v>
      </c>
      <c r="AS124" s="49" t="e">
        <f t="shared" si="119"/>
        <v>#REF!</v>
      </c>
      <c r="AT124" s="49" t="e">
        <f t="shared" si="120"/>
        <v>#REF!</v>
      </c>
      <c r="AU124" s="49">
        <v>0</v>
      </c>
      <c r="AV124" s="49" t="e">
        <f t="shared" si="121"/>
        <v>#REF!</v>
      </c>
    </row>
    <row r="125" spans="1:48" ht="12.75">
      <c r="A125" s="1" t="s">
        <v>96</v>
      </c>
      <c r="B125" s="1" t="s">
        <v>101</v>
      </c>
      <c r="C125" s="1" t="s">
        <v>204</v>
      </c>
      <c r="D125" s="1" t="s">
        <v>318</v>
      </c>
      <c r="E125" s="1" t="s">
        <v>332</v>
      </c>
      <c r="F125" s="3" t="e">
        <f>'01-BOURACÍ PRÁCE'!#REF!</f>
        <v>#REF!</v>
      </c>
      <c r="G125" s="3" t="e">
        <f>'01-BOURACÍ PRÁCE'!#REF!</f>
        <v>#REF!</v>
      </c>
      <c r="H125" s="3" t="e">
        <f t="shared" si="102"/>
        <v>#REF!</v>
      </c>
      <c r="I125" s="3" t="e">
        <f t="shared" si="103"/>
        <v>#REF!</v>
      </c>
      <c r="J125" s="3" t="e">
        <f t="shared" si="104"/>
        <v>#REF!</v>
      </c>
      <c r="K125" s="3">
        <v>0</v>
      </c>
      <c r="L125" s="3" t="e">
        <f t="shared" si="105"/>
        <v>#REF!</v>
      </c>
      <c r="M125" s="46" t="s">
        <v>380</v>
      </c>
      <c r="P125" s="49">
        <f t="shared" si="106"/>
        <v>0</v>
      </c>
      <c r="R125" s="49">
        <f t="shared" si="107"/>
        <v>0</v>
      </c>
      <c r="S125" s="49">
        <f t="shared" si="108"/>
        <v>0</v>
      </c>
      <c r="T125" s="49">
        <f t="shared" si="109"/>
        <v>0</v>
      </c>
      <c r="U125" s="49">
        <f t="shared" si="110"/>
        <v>0</v>
      </c>
      <c r="V125" s="49" t="e">
        <f t="shared" si="111"/>
        <v>#REF!</v>
      </c>
      <c r="W125" s="49" t="e">
        <f t="shared" si="112"/>
        <v>#REF!</v>
      </c>
      <c r="X125" s="49">
        <f t="shared" si="113"/>
        <v>0</v>
      </c>
      <c r="Y125" s="41" t="s">
        <v>101</v>
      </c>
      <c r="Z125" s="3">
        <f t="shared" si="114"/>
        <v>0</v>
      </c>
      <c r="AA125" s="3">
        <f t="shared" si="115"/>
        <v>0</v>
      </c>
      <c r="AB125" s="3" t="e">
        <f t="shared" si="116"/>
        <v>#REF!</v>
      </c>
      <c r="AD125" s="49">
        <v>21</v>
      </c>
      <c r="AE125" s="49" t="e">
        <f>G125*1</f>
        <v>#REF!</v>
      </c>
      <c r="AF125" s="49" t="e">
        <f>G125*(1-1)</f>
        <v>#REF!</v>
      </c>
      <c r="AG125" s="46" t="s">
        <v>8</v>
      </c>
      <c r="AM125" s="49" t="e">
        <f t="shared" si="117"/>
        <v>#REF!</v>
      </c>
      <c r="AN125" s="49" t="e">
        <f t="shared" si="118"/>
        <v>#REF!</v>
      </c>
      <c r="AO125" s="50" t="s">
        <v>409</v>
      </c>
      <c r="AP125" s="50" t="s">
        <v>419</v>
      </c>
      <c r="AQ125" s="41" t="s">
        <v>422</v>
      </c>
      <c r="AS125" s="49" t="e">
        <f t="shared" si="119"/>
        <v>#REF!</v>
      </c>
      <c r="AT125" s="49" t="e">
        <f t="shared" si="120"/>
        <v>#REF!</v>
      </c>
      <c r="AU125" s="49">
        <v>0</v>
      </c>
      <c r="AV125" s="49" t="e">
        <f t="shared" si="121"/>
        <v>#REF!</v>
      </c>
    </row>
    <row r="126" spans="1:48" ht="12.75">
      <c r="A126" s="26" t="s">
        <v>97</v>
      </c>
      <c r="B126" s="26" t="s">
        <v>101</v>
      </c>
      <c r="C126" s="26" t="s">
        <v>205</v>
      </c>
      <c r="D126" s="26" t="s">
        <v>319</v>
      </c>
      <c r="E126" s="26" t="s">
        <v>332</v>
      </c>
      <c r="F126" s="43" t="e">
        <f>'01-BOURACÍ PRÁCE'!#REF!</f>
        <v>#REF!</v>
      </c>
      <c r="G126" s="43" t="e">
        <f>'01-BOURACÍ PRÁCE'!#REF!</f>
        <v>#REF!</v>
      </c>
      <c r="H126" s="43" t="e">
        <f t="shared" si="102"/>
        <v>#REF!</v>
      </c>
      <c r="I126" s="43" t="e">
        <f t="shared" si="103"/>
        <v>#REF!</v>
      </c>
      <c r="J126" s="43" t="e">
        <f t="shared" si="104"/>
        <v>#REF!</v>
      </c>
      <c r="K126" s="43">
        <v>0</v>
      </c>
      <c r="L126" s="43" t="e">
        <f t="shared" si="105"/>
        <v>#REF!</v>
      </c>
      <c r="M126" s="48" t="s">
        <v>380</v>
      </c>
      <c r="P126" s="49">
        <f t="shared" si="106"/>
        <v>0</v>
      </c>
      <c r="R126" s="49">
        <f t="shared" si="107"/>
        <v>0</v>
      </c>
      <c r="S126" s="49">
        <f t="shared" si="108"/>
        <v>0</v>
      </c>
      <c r="T126" s="49">
        <f t="shared" si="109"/>
        <v>0</v>
      </c>
      <c r="U126" s="49">
        <f t="shared" si="110"/>
        <v>0</v>
      </c>
      <c r="V126" s="49" t="e">
        <f t="shared" si="111"/>
        <v>#REF!</v>
      </c>
      <c r="W126" s="49" t="e">
        <f t="shared" si="112"/>
        <v>#REF!</v>
      </c>
      <c r="X126" s="49">
        <f t="shared" si="113"/>
        <v>0</v>
      </c>
      <c r="Y126" s="41" t="s">
        <v>101</v>
      </c>
      <c r="Z126" s="3">
        <f t="shared" si="114"/>
        <v>0</v>
      </c>
      <c r="AA126" s="3">
        <f t="shared" si="115"/>
        <v>0</v>
      </c>
      <c r="AB126" s="3" t="e">
        <f t="shared" si="116"/>
        <v>#REF!</v>
      </c>
      <c r="AD126" s="49">
        <v>21</v>
      </c>
      <c r="AE126" s="49" t="e">
        <f>G126*0</f>
        <v>#REF!</v>
      </c>
      <c r="AF126" s="49" t="e">
        <f>G126*(1-0)</f>
        <v>#REF!</v>
      </c>
      <c r="AG126" s="46" t="s">
        <v>8</v>
      </c>
      <c r="AM126" s="49" t="e">
        <f t="shared" si="117"/>
        <v>#REF!</v>
      </c>
      <c r="AN126" s="49" t="e">
        <f t="shared" si="118"/>
        <v>#REF!</v>
      </c>
      <c r="AO126" s="50" t="s">
        <v>409</v>
      </c>
      <c r="AP126" s="50" t="s">
        <v>419</v>
      </c>
      <c r="AQ126" s="41" t="s">
        <v>422</v>
      </c>
      <c r="AS126" s="49" t="e">
        <f t="shared" si="119"/>
        <v>#REF!</v>
      </c>
      <c r="AT126" s="49" t="e">
        <f t="shared" si="120"/>
        <v>#REF!</v>
      </c>
      <c r="AU126" s="49">
        <v>0</v>
      </c>
      <c r="AV126" s="49" t="e">
        <f t="shared" si="121"/>
        <v>#REF!</v>
      </c>
    </row>
    <row r="127" spans="1:13" ht="12.75">
      <c r="A127" s="10"/>
      <c r="B127" s="10"/>
      <c r="C127" s="10"/>
      <c r="D127" s="10"/>
      <c r="E127" s="10"/>
      <c r="F127" s="10"/>
      <c r="G127" s="10"/>
      <c r="H127" s="230" t="s">
        <v>339</v>
      </c>
      <c r="I127" s="154"/>
      <c r="J127" s="53" t="e">
        <f>ROUND(J13+J15+J33+J41+J44+J47+J49+J54+J58+J61+J64+J70+J74+J77+J79+J81+J84+J92+J105+J115+J117,0)</f>
        <v>#REF!</v>
      </c>
      <c r="K127" s="10"/>
      <c r="L127" s="10"/>
      <c r="M127" s="10"/>
    </row>
    <row r="128" ht="11.25" customHeight="1">
      <c r="A128" s="27" t="s">
        <v>341</v>
      </c>
    </row>
    <row r="129" spans="1:13" ht="12.75">
      <c r="A129" s="161"/>
      <c r="B129" s="152"/>
      <c r="C129" s="152"/>
      <c r="D129" s="152"/>
      <c r="E129" s="152"/>
      <c r="F129" s="152"/>
      <c r="G129" s="152"/>
      <c r="H129" s="152"/>
      <c r="I129" s="152"/>
      <c r="J129" s="152"/>
      <c r="K129" s="152"/>
      <c r="L129" s="152"/>
      <c r="M129" s="152"/>
    </row>
  </sheetData>
  <sheetProtection/>
  <mergeCells count="29">
    <mergeCell ref="H10:J10"/>
    <mergeCell ref="K10:L10"/>
    <mergeCell ref="H127:I127"/>
    <mergeCell ref="A129:M129"/>
    <mergeCell ref="A8:C9"/>
    <mergeCell ref="D8:D9"/>
    <mergeCell ref="E8:F9"/>
    <mergeCell ref="G8:H9"/>
    <mergeCell ref="I8:I9"/>
    <mergeCell ref="J8:M9"/>
    <mergeCell ref="A6:C7"/>
    <mergeCell ref="D6:D7"/>
    <mergeCell ref="E6:F7"/>
    <mergeCell ref="G6:H7"/>
    <mergeCell ref="I6:I7"/>
    <mergeCell ref="J6:M7"/>
    <mergeCell ref="A4:C5"/>
    <mergeCell ref="D4:D5"/>
    <mergeCell ref="E4:F5"/>
    <mergeCell ref="G4:H5"/>
    <mergeCell ref="I4:I5"/>
    <mergeCell ref="J4:M5"/>
    <mergeCell ref="A1:M1"/>
    <mergeCell ref="A2:C3"/>
    <mergeCell ref="D2:D3"/>
    <mergeCell ref="E2:F3"/>
    <mergeCell ref="G2:H3"/>
    <mergeCell ref="I2:I3"/>
    <mergeCell ref="J2:M3"/>
  </mergeCells>
  <printOptions/>
  <pageMargins left="0.394" right="0.394" top="0.591" bottom="0.591" header="0.5" footer="0.5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Kamila</dc:creator>
  <cp:keywords/>
  <dc:description/>
  <cp:lastModifiedBy>Uzivatel</cp:lastModifiedBy>
  <cp:lastPrinted>2020-03-26T11:23:11Z</cp:lastPrinted>
  <dcterms:created xsi:type="dcterms:W3CDTF">2020-03-23T05:08:22Z</dcterms:created>
  <dcterms:modified xsi:type="dcterms:W3CDTF">2020-05-28T08:01:21Z</dcterms:modified>
  <cp:category/>
  <cp:version/>
  <cp:contentType/>
  <cp:contentStatus/>
</cp:coreProperties>
</file>